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380" windowWidth="15456" windowHeight="11640" tabRatio="598" activeTab="0"/>
  </bookViews>
  <sheets>
    <sheet name="UNICE" sheetId="1" r:id="rId1"/>
    <sheet name="PENS" sheetId="2" r:id="rId2"/>
    <sheet name="DIABET" sheetId="3" r:id="rId3"/>
    <sheet name="INS" sheetId="4" r:id="rId4"/>
    <sheet name="MIXT" sheetId="5" r:id="rId5"/>
    <sheet name="TESTE" sheetId="6" r:id="rId6"/>
    <sheet name="COST VOLUM" sheetId="7" r:id="rId7"/>
    <sheet name="ONCO" sheetId="8" r:id="rId8"/>
    <sheet name="POSTT" sheetId="9" r:id="rId9"/>
    <sheet name="SCLEROZ" sheetId="10" r:id="rId10"/>
    <sheet name="MUCOV" sheetId="11" r:id="rId11"/>
  </sheets>
  <definedNames/>
  <calcPr fullCalcOnLoad="1"/>
</workbook>
</file>

<file path=xl/sharedStrings.xml><?xml version="1.0" encoding="utf-8"?>
<sst xmlns="http://schemas.openxmlformats.org/spreadsheetml/2006/main" count="877" uniqueCount="128">
  <si>
    <t>Nr.crt.</t>
  </si>
  <si>
    <t>Denumirea unitatii</t>
  </si>
  <si>
    <t>Lista A</t>
  </si>
  <si>
    <t>Lista B</t>
  </si>
  <si>
    <t>Lista C1</t>
  </si>
  <si>
    <t>Lista C3</t>
  </si>
  <si>
    <t>ADONIS</t>
  </si>
  <si>
    <t xml:space="preserve">RICHTER GEDEON </t>
  </si>
  <si>
    <t>FARMA-LINE</t>
  </si>
  <si>
    <t>HYGEA</t>
  </si>
  <si>
    <t>KOL-KING</t>
  </si>
  <si>
    <t>MEDICOM</t>
  </si>
  <si>
    <t>PRO-SANA</t>
  </si>
  <si>
    <t>SALVIA</t>
  </si>
  <si>
    <t>SIMERIA</t>
  </si>
  <si>
    <t>TRANSFARM</t>
  </si>
  <si>
    <t>AMBROSIA</t>
  </si>
  <si>
    <t>SIEPCOFAR-DONA</t>
  </si>
  <si>
    <t>SALVATOR</t>
  </si>
  <si>
    <t>MARIA</t>
  </si>
  <si>
    <t>HERMANN</t>
  </si>
  <si>
    <t>FARMIRA</t>
  </si>
  <si>
    <t>VENENA</t>
  </si>
  <si>
    <t>APOLLON</t>
  </si>
  <si>
    <t>AESKULAP</t>
  </si>
  <si>
    <t>VIPERA</t>
  </si>
  <si>
    <t xml:space="preserve">FARMACOM </t>
  </si>
  <si>
    <t>PAULA</t>
  </si>
  <si>
    <t>HYPERNOVA DALIA</t>
  </si>
  <si>
    <t>SENSI BLUE</t>
  </si>
  <si>
    <t>CELLA ZARNESCU</t>
  </si>
  <si>
    <t>HELP NET</t>
  </si>
  <si>
    <t>SZENT ANNA</t>
  </si>
  <si>
    <t>MOHOS</t>
  </si>
  <si>
    <t>CATENA</t>
  </si>
  <si>
    <t>SQUARE</t>
  </si>
  <si>
    <t>UNICORNIS</t>
  </si>
  <si>
    <t>TOTAL GENERAL</t>
  </si>
  <si>
    <t>Consum MED.50%CNAS</t>
  </si>
  <si>
    <t>Consum MED.40%M.S.</t>
  </si>
  <si>
    <t xml:space="preserve">Consum PENSIONARI  </t>
  </si>
  <si>
    <t>RICHTER GEDEON</t>
  </si>
  <si>
    <t>SIEPCOFAR</t>
  </si>
  <si>
    <t>Consum DIABET</t>
  </si>
  <si>
    <t xml:space="preserve">Consum INSULINE  </t>
  </si>
  <si>
    <t>MIXT</t>
  </si>
  <si>
    <t>Diabet</t>
  </si>
  <si>
    <t xml:space="preserve">Insuline </t>
  </si>
  <si>
    <t xml:space="preserve">Teste adulti </t>
  </si>
  <si>
    <t>Teste copii</t>
  </si>
  <si>
    <t>Consum mixt</t>
  </si>
  <si>
    <t xml:space="preserve">Consum ONCOLOGICE  </t>
  </si>
  <si>
    <t xml:space="preserve">Consum posttransplant </t>
  </si>
  <si>
    <t>Consum scleroza laterala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</si>
  <si>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</si>
  <si>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</si>
  <si>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</si>
  <si>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</si>
  <si>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</si>
  <si>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</si>
  <si>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</si>
  <si>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</si>
  <si>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</si>
  <si>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</si>
  <si>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</si>
  <si>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</si>
  <si>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</si>
  <si>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</si>
  <si>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</si>
  <si>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</si>
  <si>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</si>
  <si>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</si>
  <si>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</si>
  <si>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</si>
  <si>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</si>
  <si>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</si>
  <si>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</si>
  <si>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</si>
  <si>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</si>
  <si>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</si>
  <si>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</si>
  <si>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1</t>
  </si>
  <si>
    <t>29</t>
  </si>
  <si>
    <t>30</t>
  </si>
  <si>
    <t>31</t>
  </si>
  <si>
    <t>32</t>
  </si>
  <si>
    <t>33</t>
  </si>
  <si>
    <t>34</t>
  </si>
  <si>
    <t>35</t>
  </si>
  <si>
    <t>MISS B.PHARMA</t>
  </si>
  <si>
    <t>MISS B PHARMA</t>
  </si>
  <si>
    <t xml:space="preserve"> </t>
  </si>
  <si>
    <t>LOTUS PHARMA</t>
  </si>
  <si>
    <t>ECOFARMACIA NETWORK</t>
  </si>
  <si>
    <t>36</t>
  </si>
  <si>
    <t>SANOMAX</t>
  </si>
  <si>
    <t>37</t>
  </si>
  <si>
    <t>Total consum unice</t>
  </si>
  <si>
    <t>KINCSOPHARM</t>
  </si>
  <si>
    <t>KAMILLA PLUS</t>
  </si>
  <si>
    <t>38</t>
  </si>
  <si>
    <t>Lista D</t>
  </si>
  <si>
    <t xml:space="preserve">Consum COST VOLUM  </t>
  </si>
  <si>
    <t>TOTAL  CNAS</t>
  </si>
  <si>
    <t xml:space="preserve">Total consum unice fara CNAS </t>
  </si>
  <si>
    <t>Consum MUCOVISCIDOZA ADULTI</t>
  </si>
  <si>
    <t>Consum MUCOVISCIDOZA COPII</t>
  </si>
  <si>
    <t>ARNIKAPOTHEQ</t>
  </si>
  <si>
    <t>G 4 MSS</t>
  </si>
  <si>
    <t>G7 MSS</t>
  </si>
  <si>
    <t>G 31A MSS</t>
  </si>
  <si>
    <t>G 31B MSS</t>
  </si>
  <si>
    <t>G31EMSS</t>
  </si>
  <si>
    <t>G22MSS</t>
  </si>
  <si>
    <t>G31D MSS</t>
  </si>
  <si>
    <t>G31FMSS</t>
  </si>
  <si>
    <t>G31CMSS</t>
  </si>
  <si>
    <t>SITUATIA CONSUMULUI DE MEDICAMENTE PENTRU PENSIONARI PANA LA 700 LEI IUNIE 2017</t>
  </si>
  <si>
    <t>SITUATIA CONSUMULUI DE MEDICAMENTE IN LUNA IUNIE 2017</t>
  </si>
  <si>
    <t>SITUATIA CONSUMULUI DE MEDICAMENTE PENTRU COST VOLUM  LUNA IUNIE 2017</t>
  </si>
  <si>
    <t>SITUATIA CONSUMULUI DE MEDICAMENTE PENTRU DIABET   LUNA IUNIE 2017</t>
  </si>
  <si>
    <t>SITUATIA CONSUMULUI DE MEDICAMENTE PENTRU INSULINE LUNA IUNIE 2017</t>
  </si>
  <si>
    <t>SITUATIA CONSUMULUI DE MEDICAMENTE LA  DIABET SI INSULINE IUNIE 2017</t>
  </si>
  <si>
    <t>SITUATIA CONSUMULUI LA TESTE PENTRU LUNA IUNIE 2017</t>
  </si>
  <si>
    <t>SITUATIA CONSUMULUI DE MEDICAMENTE PENTRU ONCOLOGIE  LUNA IUNIE 2017</t>
  </si>
  <si>
    <t>SITUATIA CONSUMULUI DE MEDICAMENTE LA STARI POSTTRANSPLANT IUNIE 2017</t>
  </si>
  <si>
    <t>SITUATIA CONSUMULUI DE MEDICAMENTE PENTRU SCLEROZA   LUNA IUNIE 2017</t>
  </si>
  <si>
    <t>SITUATIA CONSUMULUI DE MEDICAMENTE LA STARI MUCOVISCIDOZA IUNIE 2017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</si>
</sst>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16">
    <font>
      <sz val="10"/>
      <name val="Arial"/>
      <family val="0"/>
    </font>
    <font>
      <b/>
      <sz val="11"/>
      <name val="Times New Roman CE"/>
      <family val="1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2"/>
      <name val="Times New Roman CE"/>
      <family val="1"/>
    </font>
    <font>
      <sz val="12"/>
      <name val="Times New Roman CE"/>
      <family val="1"/>
    </font>
    <font>
      <sz val="12"/>
      <color indexed="8"/>
      <name val="Times New Roman CE"/>
      <family val="1"/>
    </font>
    <font>
      <sz val="12"/>
      <color indexed="8"/>
      <name val="Arial"/>
      <family val="2"/>
    </font>
    <font>
      <sz val="12"/>
      <name val="Arial"/>
      <family val="0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4" fontId="3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0" applyBorder="1" applyAlignment="1">
      <alignment/>
    </xf>
    <xf numFmtId="4" fontId="4" fillId="0" borderId="0" xfId="0" applyNumberFormat="1" applyFont="1" applyAlignment="1">
      <alignment/>
    </xf>
    <xf numFmtId="4" fontId="3" fillId="0" borderId="1" xfId="0" applyNumberFormat="1" applyFont="1" applyBorder="1" applyAlignment="1">
      <alignment/>
    </xf>
    <xf numFmtId="4" fontId="2" fillId="0" borderId="1" xfId="0" applyNumberFormat="1" applyFont="1" applyBorder="1" applyAlignment="1">
      <alignment/>
    </xf>
    <xf numFmtId="4" fontId="2" fillId="2" borderId="1" xfId="0" applyNumberFormat="1" applyFont="1" applyFill="1" applyBorder="1" applyAlignment="1">
      <alignment/>
    </xf>
    <xf numFmtId="4" fontId="3" fillId="0" borderId="0" xfId="0" applyNumberFormat="1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4" fontId="3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4" fontId="0" fillId="0" borderId="0" xfId="0" applyNumberFormat="1" applyAlignment="1">
      <alignment horizontal="left"/>
    </xf>
    <xf numFmtId="4" fontId="7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8" fillId="2" borderId="0" xfId="0" applyFont="1" applyFill="1" applyAlignment="1">
      <alignment/>
    </xf>
    <xf numFmtId="4" fontId="9" fillId="0" borderId="0" xfId="0" applyNumberFormat="1" applyFont="1" applyAlignment="1">
      <alignment/>
    </xf>
    <xf numFmtId="4" fontId="8" fillId="0" borderId="0" xfId="0" applyNumberFormat="1" applyFont="1" applyAlignment="1">
      <alignment/>
    </xf>
    <xf numFmtId="4" fontId="10" fillId="0" borderId="0" xfId="0" applyNumberFormat="1" applyFont="1" applyAlignment="1">
      <alignment/>
    </xf>
    <xf numFmtId="4" fontId="9" fillId="2" borderId="0" xfId="0" applyNumberFormat="1" applyFont="1" applyFill="1" applyAlignment="1">
      <alignment/>
    </xf>
    <xf numFmtId="0" fontId="11" fillId="0" borderId="0" xfId="0" applyFont="1" applyAlignment="1">
      <alignment/>
    </xf>
    <xf numFmtId="4" fontId="12" fillId="0" borderId="1" xfId="0" applyNumberFormat="1" applyFont="1" applyBorder="1" applyAlignment="1">
      <alignment/>
    </xf>
    <xf numFmtId="4" fontId="11" fillId="0" borderId="1" xfId="0" applyNumberFormat="1" applyFont="1" applyBorder="1" applyAlignment="1">
      <alignment/>
    </xf>
    <xf numFmtId="4" fontId="11" fillId="0" borderId="1" xfId="0" applyNumberFormat="1" applyFont="1" applyBorder="1" applyAlignment="1">
      <alignment horizontal="right"/>
    </xf>
    <xf numFmtId="0" fontId="12" fillId="0" borderId="0" xfId="0" applyFont="1" applyFill="1" applyBorder="1" applyAlignment="1">
      <alignment horizontal="left"/>
    </xf>
    <xf numFmtId="4" fontId="12" fillId="0" borderId="0" xfId="0" applyNumberFormat="1" applyFont="1" applyAlignment="1">
      <alignment/>
    </xf>
    <xf numFmtId="4" fontId="13" fillId="0" borderId="0" xfId="0" applyNumberFormat="1" applyFont="1" applyAlignment="1">
      <alignment/>
    </xf>
    <xf numFmtId="4" fontId="11" fillId="0" borderId="0" xfId="0" applyNumberFormat="1" applyFont="1" applyAlignment="1">
      <alignment/>
    </xf>
    <xf numFmtId="4" fontId="12" fillId="0" borderId="0" xfId="0" applyNumberFormat="1" applyFont="1" applyFill="1" applyBorder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17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/>
    </xf>
    <xf numFmtId="17" fontId="3" fillId="0" borderId="0" xfId="0" applyNumberFormat="1" applyFont="1" applyAlignment="1">
      <alignment/>
    </xf>
    <xf numFmtId="0" fontId="3" fillId="2" borderId="0" xfId="0" applyFont="1" applyFill="1" applyAlignment="1">
      <alignment/>
    </xf>
    <xf numFmtId="49" fontId="3" fillId="0" borderId="1" xfId="0" applyNumberFormat="1" applyFont="1" applyBorder="1" applyAlignment="1">
      <alignment horizontal="right"/>
    </xf>
    <xf numFmtId="0" fontId="3" fillId="2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4" fontId="2" fillId="0" borderId="0" xfId="0" applyNumberFormat="1" applyFont="1" applyAlignment="1">
      <alignment horizontal="center"/>
    </xf>
    <xf numFmtId="4" fontId="3" fillId="0" borderId="1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/>
    </xf>
    <xf numFmtId="1" fontId="3" fillId="0" borderId="0" xfId="0" applyNumberFormat="1" applyFont="1" applyBorder="1" applyAlignment="1">
      <alignment/>
    </xf>
    <xf numFmtId="4" fontId="3" fillId="2" borderId="1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right"/>
    </xf>
    <xf numFmtId="4" fontId="2" fillId="0" borderId="1" xfId="0" applyNumberFormat="1" applyFont="1" applyBorder="1" applyAlignment="1">
      <alignment horizontal="right"/>
    </xf>
    <xf numFmtId="49" fontId="2" fillId="0" borderId="2" xfId="0" applyNumberFormat="1" applyFont="1" applyBorder="1" applyAlignment="1">
      <alignment horizontal="right"/>
    </xf>
    <xf numFmtId="4" fontId="2" fillId="0" borderId="3" xfId="0" applyNumberFormat="1" applyFont="1" applyBorder="1" applyAlignment="1">
      <alignment/>
    </xf>
    <xf numFmtId="4" fontId="2" fillId="2" borderId="4" xfId="0" applyNumberFormat="1" applyFont="1" applyFill="1" applyBorder="1" applyAlignment="1">
      <alignment/>
    </xf>
    <xf numFmtId="4" fontId="2" fillId="2" borderId="5" xfId="0" applyNumberFormat="1" applyFont="1" applyFill="1" applyBorder="1" applyAlignment="1">
      <alignment/>
    </xf>
    <xf numFmtId="4" fontId="2" fillId="0" borderId="5" xfId="0" applyNumberFormat="1" applyFont="1" applyBorder="1" applyAlignment="1">
      <alignment/>
    </xf>
    <xf numFmtId="4" fontId="3" fillId="0" borderId="5" xfId="0" applyNumberFormat="1" applyFont="1" applyBorder="1" applyAlignment="1">
      <alignment/>
    </xf>
    <xf numFmtId="49" fontId="3" fillId="0" borderId="5" xfId="0" applyNumberFormat="1" applyFont="1" applyBorder="1" applyAlignment="1">
      <alignment horizontal="right"/>
    </xf>
    <xf numFmtId="49" fontId="2" fillId="0" borderId="6" xfId="0" applyNumberFormat="1" applyFont="1" applyBorder="1" applyAlignment="1">
      <alignment horizontal="right"/>
    </xf>
    <xf numFmtId="4" fontId="3" fillId="2" borderId="5" xfId="0" applyNumberFormat="1" applyFont="1" applyFill="1" applyBorder="1" applyAlignment="1">
      <alignment/>
    </xf>
    <xf numFmtId="4" fontId="2" fillId="0" borderId="2" xfId="0" applyNumberFormat="1" applyFont="1" applyBorder="1" applyAlignment="1">
      <alignment/>
    </xf>
    <xf numFmtId="4" fontId="2" fillId="2" borderId="3" xfId="0" applyNumberFormat="1" applyFont="1" applyFill="1" applyBorder="1" applyAlignment="1">
      <alignment/>
    </xf>
    <xf numFmtId="0" fontId="0" fillId="0" borderId="5" xfId="0" applyBorder="1" applyAlignment="1">
      <alignment/>
    </xf>
    <xf numFmtId="0" fontId="0" fillId="0" borderId="7" xfId="0" applyBorder="1" applyAlignment="1">
      <alignment/>
    </xf>
    <xf numFmtId="4" fontId="2" fillId="0" borderId="8" xfId="0" applyNumberFormat="1" applyFont="1" applyBorder="1" applyAlignment="1">
      <alignment horizontal="center" vertical="center" wrapText="1"/>
    </xf>
    <xf numFmtId="4" fontId="2" fillId="0" borderId="9" xfId="0" applyNumberFormat="1" applyFont="1" applyBorder="1" applyAlignment="1">
      <alignment horizontal="center" vertical="center" wrapText="1"/>
    </xf>
    <xf numFmtId="4" fontId="2" fillId="0" borderId="9" xfId="0" applyNumberFormat="1" applyFont="1" applyFill="1" applyBorder="1" applyAlignment="1">
      <alignment horizontal="center" vertical="center" wrapText="1"/>
    </xf>
    <xf numFmtId="4" fontId="2" fillId="2" borderId="10" xfId="0" applyNumberFormat="1" applyFont="1" applyFill="1" applyBorder="1" applyAlignment="1">
      <alignment horizontal="center" vertical="center" wrapText="1"/>
    </xf>
    <xf numFmtId="4" fontId="0" fillId="0" borderId="1" xfId="0" applyNumberFormat="1" applyBorder="1" applyAlignment="1">
      <alignment/>
    </xf>
    <xf numFmtId="4" fontId="1" fillId="2" borderId="1" xfId="0" applyNumberFormat="1" applyFont="1" applyFill="1" applyBorder="1" applyAlignment="1">
      <alignment horizontal="center" vertical="center" wrapText="1"/>
    </xf>
    <xf numFmtId="4" fontId="8" fillId="2" borderId="1" xfId="0" applyNumberFormat="1" applyFont="1" applyFill="1" applyBorder="1" applyAlignment="1">
      <alignment horizontal="center" vertical="center" wrapText="1"/>
    </xf>
    <xf numFmtId="4" fontId="13" fillId="0" borderId="1" xfId="0" applyNumberFormat="1" applyFont="1" applyFill="1" applyBorder="1" applyAlignment="1">
      <alignment horizontal="center" vertical="center" wrapText="1"/>
    </xf>
    <xf numFmtId="4" fontId="14" fillId="0" borderId="1" xfId="0" applyNumberFormat="1" applyFont="1" applyFill="1" applyBorder="1" applyAlignment="1">
      <alignment horizontal="center" vertical="center" wrapText="1"/>
    </xf>
    <xf numFmtId="4" fontId="13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4" fontId="8" fillId="2" borderId="1" xfId="0" applyNumberFormat="1" applyFont="1" applyFill="1" applyBorder="1" applyAlignment="1">
      <alignment horizontal="left"/>
    </xf>
    <xf numFmtId="4" fontId="13" fillId="0" borderId="1" xfId="0" applyNumberFormat="1" applyFont="1" applyBorder="1" applyAlignment="1">
      <alignment/>
    </xf>
    <xf numFmtId="4" fontId="13" fillId="2" borderId="1" xfId="0" applyNumberFormat="1" applyFont="1" applyFill="1" applyBorder="1" applyAlignment="1">
      <alignment/>
    </xf>
    <xf numFmtId="4" fontId="14" fillId="0" borderId="1" xfId="0" applyNumberFormat="1" applyFont="1" applyBorder="1" applyAlignment="1">
      <alignment/>
    </xf>
    <xf numFmtId="4" fontId="12" fillId="0" borderId="1" xfId="0" applyNumberFormat="1" applyFont="1" applyBorder="1" applyAlignment="1">
      <alignment shrinkToFit="1"/>
    </xf>
    <xf numFmtId="0" fontId="0" fillId="0" borderId="1" xfId="0" applyBorder="1" applyAlignment="1">
      <alignment/>
    </xf>
    <xf numFmtId="4" fontId="15" fillId="0" borderId="1" xfId="0" applyNumberFormat="1" applyFont="1" applyBorder="1" applyAlignment="1">
      <alignment/>
    </xf>
    <xf numFmtId="0" fontId="0" fillId="0" borderId="11" xfId="0" applyBorder="1" applyAlignment="1">
      <alignment/>
    </xf>
    <xf numFmtId="4" fontId="0" fillId="0" borderId="0" xfId="0" applyNumberForma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272"/>
  <sheetViews>
    <sheetView tabSelected="1" workbookViewId="0" topLeftCell="A1">
      <selection activeCell="T1" sqref="T1:V16384"/>
    </sheetView>
  </sheetViews>
  <sheetFormatPr defaultColWidth="9.140625" defaultRowHeight="12.75"/>
  <cols>
    <col min="1" max="1" width="9.7109375" style="0" bestFit="1" customWidth="1"/>
    <col min="2" max="2" width="31.00390625" style="0" customWidth="1"/>
    <col min="3" max="3" width="18.00390625" style="0" bestFit="1" customWidth="1"/>
    <col min="4" max="4" width="19.00390625" style="0" customWidth="1"/>
    <col min="5" max="5" width="18.00390625" style="0" bestFit="1" customWidth="1"/>
    <col min="6" max="6" width="17.8515625" style="0" bestFit="1" customWidth="1"/>
    <col min="7" max="7" width="16.28125" style="0" customWidth="1"/>
    <col min="8" max="8" width="15.28125" style="18" bestFit="1" customWidth="1"/>
    <col min="9" max="9" width="12.140625" style="0" customWidth="1"/>
    <col min="10" max="10" width="14.28125" style="0" bestFit="1" customWidth="1"/>
    <col min="11" max="12" width="15.57421875" style="0" bestFit="1" customWidth="1"/>
    <col min="13" max="14" width="13.8515625" style="0" bestFit="1" customWidth="1"/>
    <col min="15" max="15" width="17.140625" style="0" bestFit="1" customWidth="1"/>
    <col min="16" max="16" width="16.8515625" style="0" customWidth="1"/>
    <col min="17" max="17" width="15.8515625" style="0" bestFit="1" customWidth="1"/>
    <col min="18" max="18" width="18.28125" style="0" bestFit="1" customWidth="1"/>
    <col min="19" max="19" width="18.28125" style="13" bestFit="1" customWidth="1"/>
    <col min="20" max="21" width="9.140625" style="86" customWidth="1"/>
    <col min="22" max="33" width="9.140625" style="4" customWidth="1"/>
  </cols>
  <sheetData>
    <row r="1" spans="2:19" ht="15">
      <c r="B1" s="20" t="s">
        <v>118</v>
      </c>
      <c r="C1" s="21"/>
      <c r="D1" s="21"/>
      <c r="E1" s="21"/>
      <c r="F1" s="22"/>
      <c r="G1" s="22"/>
      <c r="H1" s="23"/>
      <c r="I1" s="21"/>
      <c r="J1" s="21"/>
      <c r="K1" s="21"/>
      <c r="L1" s="21"/>
      <c r="M1" s="21"/>
      <c r="N1" s="21"/>
      <c r="O1" s="21"/>
      <c r="P1" s="21"/>
      <c r="Q1" s="21"/>
      <c r="R1" s="24"/>
      <c r="S1" s="25"/>
    </row>
    <row r="2" spans="1:19" ht="30.75">
      <c r="A2" s="72" t="s">
        <v>0</v>
      </c>
      <c r="B2" s="73" t="s">
        <v>1</v>
      </c>
      <c r="C2" s="74" t="s">
        <v>2</v>
      </c>
      <c r="D2" s="74" t="s">
        <v>3</v>
      </c>
      <c r="E2" s="74" t="s">
        <v>4</v>
      </c>
      <c r="F2" s="74" t="s">
        <v>5</v>
      </c>
      <c r="G2" s="74" t="s">
        <v>101</v>
      </c>
      <c r="H2" s="75" t="s">
        <v>108</v>
      </c>
      <c r="I2" s="74" t="s">
        <v>109</v>
      </c>
      <c r="J2" s="74" t="s">
        <v>110</v>
      </c>
      <c r="K2" s="74" t="s">
        <v>111</v>
      </c>
      <c r="L2" s="74" t="s">
        <v>112</v>
      </c>
      <c r="M2" s="74" t="s">
        <v>113</v>
      </c>
      <c r="N2" s="74" t="s">
        <v>114</v>
      </c>
      <c r="O2" s="74" t="s">
        <v>115</v>
      </c>
      <c r="P2" s="74" t="s">
        <v>116</v>
      </c>
      <c r="Q2" s="74" t="s">
        <v>103</v>
      </c>
      <c r="R2" s="76" t="s">
        <v>97</v>
      </c>
      <c r="S2" s="75" t="s">
        <v>104</v>
      </c>
    </row>
    <row r="3" spans="1:19" ht="15">
      <c r="A3" s="77">
        <v>1</v>
      </c>
      <c r="B3" s="78" t="s">
        <v>6</v>
      </c>
      <c r="C3" s="26">
        <v>32619.55</v>
      </c>
      <c r="D3" s="26">
        <v>34178.08</v>
      </c>
      <c r="E3" s="26">
        <v>48136</v>
      </c>
      <c r="F3" s="26">
        <v>1663.76</v>
      </c>
      <c r="G3" s="26">
        <v>4061.24</v>
      </c>
      <c r="H3" s="27">
        <v>1713.41</v>
      </c>
      <c r="I3" s="26"/>
      <c r="J3" s="26">
        <v>3913.1</v>
      </c>
      <c r="K3" s="26">
        <v>22508.76</v>
      </c>
      <c r="L3" s="26"/>
      <c r="M3" s="26"/>
      <c r="N3" s="26">
        <v>11728.4</v>
      </c>
      <c r="O3" s="26">
        <v>11416.02</v>
      </c>
      <c r="P3" s="26"/>
      <c r="Q3" s="79">
        <f>H3+I3+J3+K3+L3+M3+N3+O3+P3</f>
        <v>51279.69</v>
      </c>
      <c r="R3" s="80">
        <f aca="true" t="shared" si="0" ref="R3:R41">C3+D3+E3+F3+G3+Q3</f>
        <v>171938.32</v>
      </c>
      <c r="S3" s="81">
        <f>R3-Q3</f>
        <v>120658.63</v>
      </c>
    </row>
    <row r="4" spans="1:19" ht="15">
      <c r="A4" s="77">
        <v>2</v>
      </c>
      <c r="B4" s="78" t="s">
        <v>7</v>
      </c>
      <c r="C4" s="26">
        <f>10435.89+9163.35</f>
        <v>19599.239999999998</v>
      </c>
      <c r="D4" s="26">
        <f>10098.52+11261.65</f>
        <v>21360.17</v>
      </c>
      <c r="E4" s="26">
        <f>7754.04+8521.94</f>
        <v>16275.98</v>
      </c>
      <c r="F4" s="26">
        <f>130.06+503.79</f>
        <v>633.85</v>
      </c>
      <c r="G4" s="26">
        <f>1545.17+1216.8</f>
        <v>2761.9700000000003</v>
      </c>
      <c r="H4" s="27"/>
      <c r="I4" s="26"/>
      <c r="J4" s="26">
        <v>3913.1</v>
      </c>
      <c r="K4" s="26">
        <v>3913.1</v>
      </c>
      <c r="L4" s="26"/>
      <c r="M4" s="26"/>
      <c r="N4" s="26"/>
      <c r="O4" s="26"/>
      <c r="P4" s="26"/>
      <c r="Q4" s="79">
        <f aca="true" t="shared" si="1" ref="Q4:Q41">H4+I4+J4+K4+L4+M4+N4+O4+P4</f>
        <v>7826.2</v>
      </c>
      <c r="R4" s="80">
        <f t="shared" si="0"/>
        <v>68457.41</v>
      </c>
      <c r="S4" s="81">
        <f aca="true" t="shared" si="2" ref="S4:S41">R4-Q4</f>
        <v>60631.21000000001</v>
      </c>
    </row>
    <row r="5" spans="1:19" ht="15">
      <c r="A5" s="77">
        <v>3</v>
      </c>
      <c r="B5" s="78" t="s">
        <v>8</v>
      </c>
      <c r="C5" s="26">
        <f>2478.14+4335.51+6784.93+12715.75+7916.49</f>
        <v>34230.82</v>
      </c>
      <c r="D5" s="26">
        <f>2948.01+4598.57+4886.36+10542.75+9670.01</f>
        <v>32645.699999999997</v>
      </c>
      <c r="E5" s="26">
        <f>149.47+2131.55+2110.23+6079.56+3781.54</f>
        <v>14252.350000000002</v>
      </c>
      <c r="F5" s="26">
        <f>2470.04+372.45+1500.44+2444.26+1108.72</f>
        <v>7895.910000000001</v>
      </c>
      <c r="G5" s="26">
        <f>186.99+462.76+486.59+743.78+1182.33</f>
        <v>3062.45</v>
      </c>
      <c r="H5" s="27"/>
      <c r="I5" s="26"/>
      <c r="J5" s="26"/>
      <c r="K5" s="26"/>
      <c r="L5" s="26"/>
      <c r="M5" s="26"/>
      <c r="N5" s="26"/>
      <c r="O5" s="26"/>
      <c r="P5" s="26"/>
      <c r="Q5" s="79">
        <f t="shared" si="1"/>
        <v>0</v>
      </c>
      <c r="R5" s="80">
        <f t="shared" si="0"/>
        <v>92087.23</v>
      </c>
      <c r="S5" s="81">
        <f t="shared" si="2"/>
        <v>92087.23</v>
      </c>
    </row>
    <row r="6" spans="1:19" ht="15">
      <c r="A6" s="77">
        <v>4</v>
      </c>
      <c r="B6" s="78" t="s">
        <v>9</v>
      </c>
      <c r="C6" s="26">
        <f>2964.5+9237.34</f>
        <v>12201.84</v>
      </c>
      <c r="D6" s="26">
        <f>1849.19+10554.32</f>
        <v>12403.51</v>
      </c>
      <c r="E6" s="26">
        <f>406.4+8391.04</f>
        <v>8797.44</v>
      </c>
      <c r="F6" s="26">
        <f>311.61+784.7</f>
        <v>1096.31</v>
      </c>
      <c r="G6" s="26">
        <f>185.96+940.35</f>
        <v>1126.31</v>
      </c>
      <c r="H6" s="27"/>
      <c r="I6" s="26"/>
      <c r="J6" s="26"/>
      <c r="K6" s="26"/>
      <c r="L6" s="26"/>
      <c r="M6" s="26"/>
      <c r="N6" s="26"/>
      <c r="O6" s="26"/>
      <c r="P6" s="26"/>
      <c r="Q6" s="79">
        <f t="shared" si="1"/>
        <v>0</v>
      </c>
      <c r="R6" s="80">
        <f t="shared" si="0"/>
        <v>35625.409999999996</v>
      </c>
      <c r="S6" s="81">
        <f t="shared" si="2"/>
        <v>35625.409999999996</v>
      </c>
    </row>
    <row r="7" spans="1:19" ht="15">
      <c r="A7" s="77">
        <v>5</v>
      </c>
      <c r="B7" s="78" t="s">
        <v>10</v>
      </c>
      <c r="C7" s="26">
        <f>7298.45+5329.57</f>
        <v>12628.02</v>
      </c>
      <c r="D7" s="26">
        <f>6952.84+6057.35</f>
        <v>13010.19</v>
      </c>
      <c r="E7" s="26">
        <f>6739.8+3481.15</f>
        <v>10220.95</v>
      </c>
      <c r="F7" s="26">
        <f>264.73+539.41</f>
        <v>804.14</v>
      </c>
      <c r="G7" s="26">
        <f>805.32+1052</f>
        <v>1857.3200000000002</v>
      </c>
      <c r="H7" s="27"/>
      <c r="I7" s="26"/>
      <c r="J7" s="26"/>
      <c r="K7" s="26"/>
      <c r="L7" s="26"/>
      <c r="M7" s="26"/>
      <c r="N7" s="26"/>
      <c r="O7" s="26"/>
      <c r="P7" s="26"/>
      <c r="Q7" s="79">
        <f t="shared" si="1"/>
        <v>0</v>
      </c>
      <c r="R7" s="80">
        <f t="shared" si="0"/>
        <v>38520.62</v>
      </c>
      <c r="S7" s="81">
        <f t="shared" si="2"/>
        <v>38520.62</v>
      </c>
    </row>
    <row r="8" spans="1:19" ht="15">
      <c r="A8" s="77">
        <v>6</v>
      </c>
      <c r="B8" s="78" t="s">
        <v>11</v>
      </c>
      <c r="C8" s="26">
        <v>12558.67</v>
      </c>
      <c r="D8" s="26">
        <v>15698.78</v>
      </c>
      <c r="E8" s="26">
        <v>25010.44</v>
      </c>
      <c r="F8" s="26">
        <v>837.19</v>
      </c>
      <c r="G8" s="26">
        <v>1994.24</v>
      </c>
      <c r="H8" s="27"/>
      <c r="I8" s="26"/>
      <c r="J8" s="26"/>
      <c r="K8" s="26"/>
      <c r="L8" s="26"/>
      <c r="M8" s="26"/>
      <c r="N8" s="26"/>
      <c r="O8" s="26"/>
      <c r="P8" s="26"/>
      <c r="Q8" s="79">
        <f t="shared" si="1"/>
        <v>0</v>
      </c>
      <c r="R8" s="80">
        <f t="shared" si="0"/>
        <v>56099.32</v>
      </c>
      <c r="S8" s="81">
        <f t="shared" si="2"/>
        <v>56099.32</v>
      </c>
    </row>
    <row r="9" spans="1:19" ht="15">
      <c r="A9" s="77">
        <v>7</v>
      </c>
      <c r="B9" s="78" t="s">
        <v>12</v>
      </c>
      <c r="C9" s="26">
        <f>22942.69+1640.35</f>
        <v>24583.039999999997</v>
      </c>
      <c r="D9" s="26">
        <f>22765.48+1400.22</f>
        <v>24165.7</v>
      </c>
      <c r="E9" s="26">
        <f>25859.89+1800.44</f>
        <v>27660.329999999998</v>
      </c>
      <c r="F9" s="26">
        <f>1334.74+98.81</f>
        <v>1433.55</v>
      </c>
      <c r="G9" s="26">
        <f>2764.95+120.36</f>
        <v>2885.31</v>
      </c>
      <c r="H9" s="27">
        <v>21422.24</v>
      </c>
      <c r="I9" s="26"/>
      <c r="J9" s="26"/>
      <c r="K9" s="26"/>
      <c r="L9" s="26"/>
      <c r="M9" s="26"/>
      <c r="N9" s="26">
        <v>7502.92</v>
      </c>
      <c r="O9" s="26"/>
      <c r="P9" s="26"/>
      <c r="Q9" s="79">
        <f t="shared" si="1"/>
        <v>28925.160000000003</v>
      </c>
      <c r="R9" s="80">
        <f t="shared" si="0"/>
        <v>109653.09</v>
      </c>
      <c r="S9" s="81">
        <f t="shared" si="2"/>
        <v>80727.93</v>
      </c>
    </row>
    <row r="10" spans="1:19" ht="15">
      <c r="A10" s="77">
        <v>8</v>
      </c>
      <c r="B10" s="78" t="s">
        <v>13</v>
      </c>
      <c r="C10" s="26">
        <f>4790.18+7447.25+11356.01+9356.72+12564.83</f>
        <v>45514.990000000005</v>
      </c>
      <c r="D10" s="26">
        <f>3772.87+7672+11912.64+9363.51+15605.55</f>
        <v>48326.56999999999</v>
      </c>
      <c r="E10" s="26">
        <f>7497.63+2574.36+9842.49+30888.51+72233.37</f>
        <v>123036.35999999999</v>
      </c>
      <c r="F10" s="26">
        <f>55.22+951.33+1086.83+867.27+1605.99</f>
        <v>4566.64</v>
      </c>
      <c r="G10" s="26">
        <f>674.93+543.51+1624.02+1934.85+2199.93</f>
        <v>6977.24</v>
      </c>
      <c r="H10" s="27">
        <f>5188.47+6901.88</f>
        <v>12090.35</v>
      </c>
      <c r="I10" s="26"/>
      <c r="J10" s="26"/>
      <c r="K10" s="26">
        <f>15490.76</f>
        <v>15490.76</v>
      </c>
      <c r="L10" s="26"/>
      <c r="M10" s="26"/>
      <c r="N10" s="26">
        <v>3913.1</v>
      </c>
      <c r="O10" s="26"/>
      <c r="P10" s="26"/>
      <c r="Q10" s="79">
        <f t="shared" si="1"/>
        <v>31494.21</v>
      </c>
      <c r="R10" s="80">
        <f t="shared" si="0"/>
        <v>259916.00999999998</v>
      </c>
      <c r="S10" s="81">
        <f t="shared" si="2"/>
        <v>228421.8</v>
      </c>
    </row>
    <row r="11" spans="1:19" ht="15">
      <c r="A11" s="77">
        <v>9</v>
      </c>
      <c r="B11" s="78" t="s">
        <v>14</v>
      </c>
      <c r="C11" s="26">
        <f>9309.38+6276.02+17982.52+18178.71</f>
        <v>51746.63</v>
      </c>
      <c r="D11" s="26">
        <f>8594.84+7073.24+16908.27+20290.53</f>
        <v>52866.88</v>
      </c>
      <c r="E11" s="26">
        <f>7219.55+17006.06+25721.72+18045.31</f>
        <v>67992.64</v>
      </c>
      <c r="F11" s="26">
        <f>333.72+645.9+793.21+342.22</f>
        <v>2115.05</v>
      </c>
      <c r="G11" s="26">
        <f>1424.16+975.9+1500.83+3071.34</f>
        <v>6972.23</v>
      </c>
      <c r="H11" s="27">
        <v>1713.41</v>
      </c>
      <c r="I11" s="26"/>
      <c r="J11" s="26">
        <v>3913.1</v>
      </c>
      <c r="K11" s="26"/>
      <c r="L11" s="26"/>
      <c r="M11" s="26"/>
      <c r="N11" s="26">
        <v>3913.1</v>
      </c>
      <c r="O11" s="26"/>
      <c r="P11" s="26"/>
      <c r="Q11" s="79">
        <f t="shared" si="1"/>
        <v>9539.61</v>
      </c>
      <c r="R11" s="80">
        <f t="shared" si="0"/>
        <v>191233.03999999998</v>
      </c>
      <c r="S11" s="81">
        <f t="shared" si="2"/>
        <v>181693.43</v>
      </c>
    </row>
    <row r="12" spans="1:19" ht="15">
      <c r="A12" s="77">
        <v>10</v>
      </c>
      <c r="B12" s="78" t="s">
        <v>15</v>
      </c>
      <c r="C12" s="26">
        <v>13326.62</v>
      </c>
      <c r="D12" s="26">
        <v>23211.68</v>
      </c>
      <c r="E12" s="26">
        <v>32613.66</v>
      </c>
      <c r="F12" s="26">
        <v>505.7</v>
      </c>
      <c r="G12" s="26">
        <v>918.32</v>
      </c>
      <c r="H12" s="27">
        <v>18792.14</v>
      </c>
      <c r="I12" s="26"/>
      <c r="J12" s="26"/>
      <c r="K12" s="26">
        <v>15102.44</v>
      </c>
      <c r="L12" s="26"/>
      <c r="M12" s="26"/>
      <c r="N12" s="26">
        <v>7664.56</v>
      </c>
      <c r="O12" s="26"/>
      <c r="P12" s="26"/>
      <c r="Q12" s="79">
        <f t="shared" si="1"/>
        <v>41559.14</v>
      </c>
      <c r="R12" s="80">
        <f t="shared" si="0"/>
        <v>112135.12000000001</v>
      </c>
      <c r="S12" s="81">
        <f t="shared" si="2"/>
        <v>70575.98000000001</v>
      </c>
    </row>
    <row r="13" spans="1:19" ht="15">
      <c r="A13" s="77">
        <v>11</v>
      </c>
      <c r="B13" s="78" t="s">
        <v>16</v>
      </c>
      <c r="C13" s="26">
        <f>5839.59+5178.93+1391.5</f>
        <v>12410.02</v>
      </c>
      <c r="D13" s="82">
        <f>7847.41+6962.66+1535.73</f>
        <v>16345.8</v>
      </c>
      <c r="E13" s="26">
        <f>9377.99+14224.96+1716.32</f>
        <v>25319.269999999997</v>
      </c>
      <c r="F13" s="26">
        <f>676.31+281.55+131.23</f>
        <v>1089.09</v>
      </c>
      <c r="G13" s="26">
        <f>733.22+631.73+152.82</f>
        <v>1517.77</v>
      </c>
      <c r="H13" s="27">
        <v>3124.16</v>
      </c>
      <c r="I13" s="26"/>
      <c r="J13" s="26"/>
      <c r="K13" s="26"/>
      <c r="L13" s="26"/>
      <c r="M13" s="26"/>
      <c r="N13" s="26">
        <v>3751.46</v>
      </c>
      <c r="O13" s="26"/>
      <c r="P13" s="26"/>
      <c r="Q13" s="79">
        <f t="shared" si="1"/>
        <v>6875.62</v>
      </c>
      <c r="R13" s="80">
        <f t="shared" si="0"/>
        <v>63557.56999999999</v>
      </c>
      <c r="S13" s="81">
        <f t="shared" si="2"/>
        <v>56681.94999999999</v>
      </c>
    </row>
    <row r="14" spans="1:19" ht="15">
      <c r="A14" s="77">
        <v>12</v>
      </c>
      <c r="B14" s="78" t="s">
        <v>17</v>
      </c>
      <c r="C14" s="26">
        <f>22825.25+22436.85+25505.55</f>
        <v>70767.65</v>
      </c>
      <c r="D14" s="26">
        <f>19951.77+22808.93+26988.89</f>
        <v>69749.59</v>
      </c>
      <c r="E14" s="26">
        <f>10981.68+11266.02+14571.46</f>
        <v>36819.16</v>
      </c>
      <c r="F14" s="26">
        <f>1330.83+1280.85+1257.08</f>
        <v>3868.7599999999998</v>
      </c>
      <c r="G14" s="26">
        <f>2411.48+2938.01+3796.55</f>
        <v>9146.04</v>
      </c>
      <c r="H14" s="27"/>
      <c r="I14" s="26"/>
      <c r="J14" s="26"/>
      <c r="K14" s="26">
        <f>3913.1+18724.78</f>
        <v>22637.879999999997</v>
      </c>
      <c r="L14" s="26">
        <v>1946.25</v>
      </c>
      <c r="M14" s="26"/>
      <c r="N14" s="26">
        <f>7664.56+15329.12</f>
        <v>22993.68</v>
      </c>
      <c r="O14" s="26"/>
      <c r="P14" s="26">
        <v>3913.1</v>
      </c>
      <c r="Q14" s="79">
        <f t="shared" si="1"/>
        <v>51490.909999999996</v>
      </c>
      <c r="R14" s="80">
        <f t="shared" si="0"/>
        <v>241842.11000000002</v>
      </c>
      <c r="S14" s="81">
        <f t="shared" si="2"/>
        <v>190351.2</v>
      </c>
    </row>
    <row r="15" spans="1:19" ht="15">
      <c r="A15" s="77">
        <v>13</v>
      </c>
      <c r="B15" s="78" t="s">
        <v>18</v>
      </c>
      <c r="C15" s="26">
        <v>24327.07</v>
      </c>
      <c r="D15" s="26">
        <v>29758.59</v>
      </c>
      <c r="E15" s="26">
        <v>18618.61</v>
      </c>
      <c r="F15" s="26">
        <v>1828.72</v>
      </c>
      <c r="G15" s="26">
        <v>3249.91</v>
      </c>
      <c r="H15" s="27"/>
      <c r="I15" s="26"/>
      <c r="J15" s="26"/>
      <c r="K15" s="26"/>
      <c r="L15" s="26"/>
      <c r="M15" s="26"/>
      <c r="N15" s="26"/>
      <c r="O15" s="26"/>
      <c r="P15" s="26"/>
      <c r="Q15" s="79">
        <f t="shared" si="1"/>
        <v>0</v>
      </c>
      <c r="R15" s="80">
        <f t="shared" si="0"/>
        <v>77782.90000000001</v>
      </c>
      <c r="S15" s="81">
        <f t="shared" si="2"/>
        <v>77782.90000000001</v>
      </c>
    </row>
    <row r="16" spans="1:53" ht="15">
      <c r="A16" s="77">
        <v>14</v>
      </c>
      <c r="B16" s="78" t="s">
        <v>19</v>
      </c>
      <c r="C16" s="26">
        <v>24643.44</v>
      </c>
      <c r="D16" s="26">
        <v>14829.46</v>
      </c>
      <c r="E16" s="26">
        <v>7916.71</v>
      </c>
      <c r="F16" s="26">
        <v>858.58</v>
      </c>
      <c r="G16" s="26">
        <v>1994.2</v>
      </c>
      <c r="H16" s="27"/>
      <c r="I16" s="26"/>
      <c r="J16" s="26"/>
      <c r="K16" s="26"/>
      <c r="L16" s="26"/>
      <c r="M16" s="26"/>
      <c r="N16" s="26"/>
      <c r="O16" s="26"/>
      <c r="P16" s="26"/>
      <c r="Q16" s="79">
        <f t="shared" si="1"/>
        <v>0</v>
      </c>
      <c r="R16" s="80">
        <f t="shared" si="0"/>
        <v>50242.38999999999</v>
      </c>
      <c r="S16" s="81">
        <f t="shared" si="2"/>
        <v>50242.38999999999</v>
      </c>
      <c r="T16" s="12"/>
      <c r="U16" s="12"/>
      <c r="V16" s="12"/>
      <c r="W16" s="12"/>
      <c r="X16" s="12"/>
      <c r="Y16" s="12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</row>
    <row r="17" spans="1:19" ht="15">
      <c r="A17" s="77">
        <v>15</v>
      </c>
      <c r="B17" s="78" t="s">
        <v>20</v>
      </c>
      <c r="C17" s="26">
        <f>13514.02+34596.48</f>
        <v>48110.5</v>
      </c>
      <c r="D17" s="26">
        <f>8840.62+20953.66</f>
        <v>29794.28</v>
      </c>
      <c r="E17" s="26">
        <f>8919.57+22539.19</f>
        <v>31458.76</v>
      </c>
      <c r="F17" s="26">
        <f>1607.43+2892.21</f>
        <v>4499.64</v>
      </c>
      <c r="G17" s="26">
        <f>890.58+3070.03</f>
        <v>3960.61</v>
      </c>
      <c r="H17" s="27"/>
      <c r="I17" s="26"/>
      <c r="J17" s="26"/>
      <c r="K17" s="26"/>
      <c r="L17" s="26"/>
      <c r="M17" s="26"/>
      <c r="N17" s="26"/>
      <c r="O17" s="26"/>
      <c r="P17" s="26"/>
      <c r="Q17" s="79">
        <f t="shared" si="1"/>
        <v>0</v>
      </c>
      <c r="R17" s="80">
        <f t="shared" si="0"/>
        <v>117823.79</v>
      </c>
      <c r="S17" s="81">
        <f t="shared" si="2"/>
        <v>117823.79</v>
      </c>
    </row>
    <row r="18" spans="1:19" ht="15">
      <c r="A18" s="77">
        <v>16</v>
      </c>
      <c r="B18" s="78" t="s">
        <v>21</v>
      </c>
      <c r="C18" s="26">
        <f>3339.76+15644.27</f>
        <v>18984.03</v>
      </c>
      <c r="D18" s="26">
        <f>2491.34+15678.31</f>
        <v>18169.65</v>
      </c>
      <c r="E18" s="26">
        <f>924.35+9547.5</f>
        <v>10471.85</v>
      </c>
      <c r="F18" s="26">
        <f>267.74+1138.49</f>
        <v>1406.23</v>
      </c>
      <c r="G18" s="26">
        <f>464.29+2010.93</f>
        <v>2475.2200000000003</v>
      </c>
      <c r="H18" s="28">
        <v>1843.41</v>
      </c>
      <c r="I18" s="26"/>
      <c r="J18" s="26"/>
      <c r="K18" s="26"/>
      <c r="L18" s="26"/>
      <c r="M18" s="26"/>
      <c r="N18" s="26"/>
      <c r="O18" s="26"/>
      <c r="P18" s="26"/>
      <c r="Q18" s="79">
        <f t="shared" si="1"/>
        <v>1843.41</v>
      </c>
      <c r="R18" s="80">
        <f t="shared" si="0"/>
        <v>53350.39000000001</v>
      </c>
      <c r="S18" s="81">
        <f t="shared" si="2"/>
        <v>51506.98</v>
      </c>
    </row>
    <row r="19" spans="1:19" ht="15">
      <c r="A19" s="77">
        <v>17</v>
      </c>
      <c r="B19" s="78" t="s">
        <v>22</v>
      </c>
      <c r="C19" s="26">
        <v>6290.85</v>
      </c>
      <c r="D19" s="26">
        <v>4334.32</v>
      </c>
      <c r="E19" s="26">
        <v>4350.68</v>
      </c>
      <c r="F19" s="26">
        <v>354.71</v>
      </c>
      <c r="G19" s="26">
        <v>500.55</v>
      </c>
      <c r="H19" s="27"/>
      <c r="I19" s="26"/>
      <c r="J19" s="26"/>
      <c r="K19" s="26"/>
      <c r="L19" s="26"/>
      <c r="M19" s="26"/>
      <c r="N19" s="26"/>
      <c r="O19" s="26"/>
      <c r="P19" s="26"/>
      <c r="Q19" s="79">
        <f t="shared" si="1"/>
        <v>0</v>
      </c>
      <c r="R19" s="80">
        <f t="shared" si="0"/>
        <v>15831.109999999999</v>
      </c>
      <c r="S19" s="81">
        <f t="shared" si="2"/>
        <v>15831.109999999999</v>
      </c>
    </row>
    <row r="20" spans="1:19" ht="15">
      <c r="A20" s="77">
        <v>18</v>
      </c>
      <c r="B20" s="78" t="s">
        <v>23</v>
      </c>
      <c r="C20" s="26">
        <v>3942.44</v>
      </c>
      <c r="D20" s="26">
        <v>2414.17</v>
      </c>
      <c r="E20" s="26">
        <v>1152</v>
      </c>
      <c r="F20" s="26">
        <v>176.27</v>
      </c>
      <c r="G20" s="26">
        <v>312.72</v>
      </c>
      <c r="H20" s="27"/>
      <c r="I20" s="26"/>
      <c r="J20" s="26"/>
      <c r="K20" s="26"/>
      <c r="L20" s="26"/>
      <c r="M20" s="26"/>
      <c r="N20" s="26"/>
      <c r="O20" s="26"/>
      <c r="P20" s="26"/>
      <c r="Q20" s="79">
        <f t="shared" si="1"/>
        <v>0</v>
      </c>
      <c r="R20" s="80">
        <f t="shared" si="0"/>
        <v>7997.600000000001</v>
      </c>
      <c r="S20" s="81">
        <f t="shared" si="2"/>
        <v>7997.600000000001</v>
      </c>
    </row>
    <row r="21" spans="1:19" ht="15">
      <c r="A21" s="77">
        <v>19</v>
      </c>
      <c r="B21" s="78" t="s">
        <v>24</v>
      </c>
      <c r="C21" s="26">
        <f>3880.95+3239.14+1965.82+1767.41+2427.33</f>
        <v>13280.65</v>
      </c>
      <c r="D21" s="26">
        <f>3588.43+3029.02+1128.97+1420.19+3007.92</f>
        <v>12174.53</v>
      </c>
      <c r="E21" s="26">
        <f>407.37+1000.51+814.57+492.74+651.5</f>
        <v>3366.6900000000005</v>
      </c>
      <c r="F21" s="26">
        <f>1492.38+376.2+123.38+19.73+393.06</f>
        <v>2404.75</v>
      </c>
      <c r="G21" s="26">
        <f>362.08+433.59+309.56+136.66+327.9</f>
        <v>1569.79</v>
      </c>
      <c r="H21" s="27"/>
      <c r="I21" s="26"/>
      <c r="J21" s="26"/>
      <c r="K21" s="26"/>
      <c r="L21" s="26"/>
      <c r="M21" s="26"/>
      <c r="N21" s="26"/>
      <c r="O21" s="26"/>
      <c r="P21" s="26"/>
      <c r="Q21" s="79">
        <f t="shared" si="1"/>
        <v>0</v>
      </c>
      <c r="R21" s="80">
        <f t="shared" si="0"/>
        <v>32796.41</v>
      </c>
      <c r="S21" s="81">
        <f t="shared" si="2"/>
        <v>32796.41</v>
      </c>
    </row>
    <row r="22" spans="1:19" ht="15">
      <c r="A22" s="77">
        <v>20</v>
      </c>
      <c r="B22" s="78" t="s">
        <v>25</v>
      </c>
      <c r="C22" s="26">
        <v>20234.34</v>
      </c>
      <c r="D22" s="26">
        <v>18702.31</v>
      </c>
      <c r="E22" s="26">
        <v>12505.92</v>
      </c>
      <c r="F22" s="26">
        <v>980.71</v>
      </c>
      <c r="G22" s="26">
        <v>3004.32</v>
      </c>
      <c r="H22" s="27">
        <v>1713.41</v>
      </c>
      <c r="I22" s="26"/>
      <c r="J22" s="26"/>
      <c r="K22" s="26"/>
      <c r="L22" s="26"/>
      <c r="M22" s="26">
        <v>5839.42</v>
      </c>
      <c r="N22" s="26"/>
      <c r="O22" s="26"/>
      <c r="P22" s="26"/>
      <c r="Q22" s="79">
        <f t="shared" si="1"/>
        <v>7552.83</v>
      </c>
      <c r="R22" s="80">
        <f t="shared" si="0"/>
        <v>62980.43</v>
      </c>
      <c r="S22" s="81">
        <f t="shared" si="2"/>
        <v>55427.6</v>
      </c>
    </row>
    <row r="23" spans="1:19" ht="15">
      <c r="A23" s="77">
        <v>21</v>
      </c>
      <c r="B23" s="78" t="s">
        <v>26</v>
      </c>
      <c r="C23" s="26">
        <f>2408.98+5192.44+4666.57+6613.42+22148.72</f>
        <v>41030.130000000005</v>
      </c>
      <c r="D23" s="26">
        <f>2290.89+4338.98+4595.32+6392.7+20110.72</f>
        <v>37728.61</v>
      </c>
      <c r="E23" s="26">
        <f>1659.22+218.73+2573.73+6584.12+11876.23</f>
        <v>22912.03</v>
      </c>
      <c r="F23" s="26">
        <f>199.24+5493.78+262.71+1234.31+1116.38</f>
        <v>8306.419999999998</v>
      </c>
      <c r="G23" s="26">
        <f>332.26+269.8+464.7+589.8+3485.89</f>
        <v>5142.45</v>
      </c>
      <c r="H23" s="27"/>
      <c r="I23" s="26"/>
      <c r="J23" s="26"/>
      <c r="K23" s="26"/>
      <c r="L23" s="26"/>
      <c r="M23" s="26"/>
      <c r="N23" s="26"/>
      <c r="O23" s="26"/>
      <c r="P23" s="26"/>
      <c r="Q23" s="79">
        <f t="shared" si="1"/>
        <v>0</v>
      </c>
      <c r="R23" s="80">
        <f t="shared" si="0"/>
        <v>115119.64</v>
      </c>
      <c r="S23" s="81">
        <f t="shared" si="2"/>
        <v>115119.64</v>
      </c>
    </row>
    <row r="24" spans="1:19" ht="15">
      <c r="A24" s="77">
        <v>22</v>
      </c>
      <c r="B24" s="78" t="s">
        <v>27</v>
      </c>
      <c r="C24" s="26">
        <v>7121.49</v>
      </c>
      <c r="D24" s="26">
        <v>4734.03</v>
      </c>
      <c r="E24" s="26">
        <v>2876.28</v>
      </c>
      <c r="F24" s="26">
        <v>333.75</v>
      </c>
      <c r="G24" s="26">
        <v>859.41</v>
      </c>
      <c r="H24" s="27"/>
      <c r="I24" s="26"/>
      <c r="J24" s="26"/>
      <c r="K24" s="26"/>
      <c r="L24" s="26"/>
      <c r="M24" s="26"/>
      <c r="N24" s="26"/>
      <c r="O24" s="26"/>
      <c r="P24" s="26"/>
      <c r="Q24" s="79">
        <f t="shared" si="1"/>
        <v>0</v>
      </c>
      <c r="R24" s="80">
        <f t="shared" si="0"/>
        <v>15924.960000000001</v>
      </c>
      <c r="S24" s="81">
        <f t="shared" si="2"/>
        <v>15924.960000000001</v>
      </c>
    </row>
    <row r="25" spans="1:19" ht="15">
      <c r="A25" s="77">
        <v>23</v>
      </c>
      <c r="B25" s="78" t="s">
        <v>28</v>
      </c>
      <c r="C25" s="26">
        <f>8213.92+536.2</f>
        <v>8750.12</v>
      </c>
      <c r="D25" s="26">
        <f>4041.87+509.43</f>
        <v>4551.3</v>
      </c>
      <c r="E25" s="26">
        <f>3312.98+193.96</f>
        <v>3506.94</v>
      </c>
      <c r="F25" s="26">
        <f>672.15</f>
        <v>672.15</v>
      </c>
      <c r="G25" s="26">
        <f>447.7+115.21</f>
        <v>562.91</v>
      </c>
      <c r="H25" s="27"/>
      <c r="I25" s="26"/>
      <c r="J25" s="26"/>
      <c r="K25" s="26"/>
      <c r="L25" s="26"/>
      <c r="M25" s="26"/>
      <c r="N25" s="26"/>
      <c r="O25" s="26"/>
      <c r="P25" s="26"/>
      <c r="Q25" s="79">
        <f t="shared" si="1"/>
        <v>0</v>
      </c>
      <c r="R25" s="80">
        <f t="shared" si="0"/>
        <v>18043.420000000002</v>
      </c>
      <c r="S25" s="81">
        <f t="shared" si="2"/>
        <v>18043.420000000002</v>
      </c>
    </row>
    <row r="26" spans="1:19" ht="15">
      <c r="A26" s="77">
        <v>24</v>
      </c>
      <c r="B26" s="78" t="s">
        <v>29</v>
      </c>
      <c r="C26" s="26">
        <f>10695.69+19681.46+16512.86+18183.13</f>
        <v>65073.14</v>
      </c>
      <c r="D26" s="26">
        <f>13299.41+20787.97+22201+19098.14+50.32</f>
        <v>75436.84000000001</v>
      </c>
      <c r="E26" s="26">
        <f>5630.39+39523.46+30831.19+7135.61</f>
        <v>83120.65</v>
      </c>
      <c r="F26" s="26">
        <f>457.08+439.9+1118.76+788.22</f>
        <v>2803.96</v>
      </c>
      <c r="G26" s="26">
        <f>1286.48+1971.36+2411.19+2272.15</f>
        <v>7941.18</v>
      </c>
      <c r="H26" s="27">
        <v>5140.2</v>
      </c>
      <c r="I26" s="26"/>
      <c r="J26" s="26">
        <v>3913.1</v>
      </c>
      <c r="K26" s="26">
        <f>3913.1+75960.54+3718.94</f>
        <v>83592.58</v>
      </c>
      <c r="L26" s="26"/>
      <c r="M26" s="26">
        <v>7170.92</v>
      </c>
      <c r="N26" s="26">
        <v>15652.4</v>
      </c>
      <c r="O26" s="26">
        <v>41087.55</v>
      </c>
      <c r="P26" s="26">
        <v>3913.1</v>
      </c>
      <c r="Q26" s="79">
        <f t="shared" si="1"/>
        <v>160469.85</v>
      </c>
      <c r="R26" s="80">
        <f t="shared" si="0"/>
        <v>394845.62</v>
      </c>
      <c r="S26" s="81">
        <f t="shared" si="2"/>
        <v>234375.77</v>
      </c>
    </row>
    <row r="27" spans="1:19" ht="15">
      <c r="A27" s="77">
        <v>25</v>
      </c>
      <c r="B27" s="78" t="s">
        <v>30</v>
      </c>
      <c r="C27" s="26"/>
      <c r="D27" s="26"/>
      <c r="E27" s="26"/>
      <c r="F27" s="26"/>
      <c r="G27" s="26"/>
      <c r="H27" s="27"/>
      <c r="I27" s="26"/>
      <c r="J27" s="26"/>
      <c r="K27" s="26"/>
      <c r="L27" s="26"/>
      <c r="M27" s="26"/>
      <c r="N27" s="26"/>
      <c r="O27" s="26"/>
      <c r="P27" s="26"/>
      <c r="Q27" s="79">
        <f t="shared" si="1"/>
        <v>0</v>
      </c>
      <c r="R27" s="80">
        <f t="shared" si="0"/>
        <v>0</v>
      </c>
      <c r="S27" s="81">
        <f t="shared" si="2"/>
        <v>0</v>
      </c>
    </row>
    <row r="28" spans="1:19" ht="15">
      <c r="A28" s="77">
        <v>26</v>
      </c>
      <c r="B28" s="78" t="s">
        <v>31</v>
      </c>
      <c r="C28" s="26">
        <v>4719.21</v>
      </c>
      <c r="D28" s="26">
        <v>5026.8</v>
      </c>
      <c r="E28" s="26">
        <v>8985.59</v>
      </c>
      <c r="F28" s="26">
        <v>138.61</v>
      </c>
      <c r="G28" s="26">
        <v>688.91</v>
      </c>
      <c r="H28" s="27"/>
      <c r="I28" s="26"/>
      <c r="J28" s="26"/>
      <c r="K28" s="26"/>
      <c r="L28" s="26"/>
      <c r="M28" s="26"/>
      <c r="N28" s="26">
        <v>7976.94</v>
      </c>
      <c r="O28" s="26"/>
      <c r="P28" s="26"/>
      <c r="Q28" s="79">
        <f t="shared" si="1"/>
        <v>7976.94</v>
      </c>
      <c r="R28" s="80">
        <f t="shared" si="0"/>
        <v>27536.059999999998</v>
      </c>
      <c r="S28" s="81">
        <f t="shared" si="2"/>
        <v>19559.12</v>
      </c>
    </row>
    <row r="29" spans="1:19" ht="15">
      <c r="A29" s="77">
        <v>27</v>
      </c>
      <c r="B29" s="78" t="s">
        <v>32</v>
      </c>
      <c r="C29" s="26">
        <f>14067.57+6413.09</f>
        <v>20480.66</v>
      </c>
      <c r="D29" s="26">
        <f>13758.09+4924.47</f>
        <v>18682.56</v>
      </c>
      <c r="E29" s="26">
        <f>5455.16+2738.96</f>
        <v>8194.119999999999</v>
      </c>
      <c r="F29" s="26">
        <f>866.14+522.31</f>
        <v>1388.4499999999998</v>
      </c>
      <c r="G29" s="26">
        <f>1550.91+873.44</f>
        <v>2424.3500000000004</v>
      </c>
      <c r="H29" s="27"/>
      <c r="I29" s="26"/>
      <c r="J29" s="26"/>
      <c r="K29" s="26"/>
      <c r="L29" s="26"/>
      <c r="M29" s="26"/>
      <c r="N29" s="26"/>
      <c r="O29" s="26"/>
      <c r="P29" s="26"/>
      <c r="Q29" s="79">
        <f t="shared" si="1"/>
        <v>0</v>
      </c>
      <c r="R29" s="80">
        <f t="shared" si="0"/>
        <v>51170.13999999999</v>
      </c>
      <c r="S29" s="81">
        <f t="shared" si="2"/>
        <v>51170.13999999999</v>
      </c>
    </row>
    <row r="30" spans="1:19" ht="15">
      <c r="A30" s="77">
        <v>28</v>
      </c>
      <c r="B30" s="78" t="s">
        <v>33</v>
      </c>
      <c r="C30" s="26">
        <f>6745.61+3691.38</f>
        <v>10436.99</v>
      </c>
      <c r="D30" s="26">
        <f>5566.13+2626.31</f>
        <v>8192.44</v>
      </c>
      <c r="E30" s="26">
        <f>8295.33+1632.87</f>
        <v>9928.2</v>
      </c>
      <c r="F30" s="26">
        <f>499.91+305.55</f>
        <v>805.46</v>
      </c>
      <c r="G30" s="26">
        <f>528.49+389.73</f>
        <v>918.22</v>
      </c>
      <c r="H30" s="27"/>
      <c r="I30" s="26"/>
      <c r="J30" s="26"/>
      <c r="K30" s="26"/>
      <c r="L30" s="26"/>
      <c r="M30" s="26"/>
      <c r="N30" s="26"/>
      <c r="O30" s="26"/>
      <c r="P30" s="26"/>
      <c r="Q30" s="79">
        <f t="shared" si="1"/>
        <v>0</v>
      </c>
      <c r="R30" s="80">
        <f t="shared" si="0"/>
        <v>30281.31</v>
      </c>
      <c r="S30" s="81">
        <f t="shared" si="2"/>
        <v>30281.31</v>
      </c>
    </row>
    <row r="31" spans="1:19" ht="15">
      <c r="A31" s="77">
        <v>29</v>
      </c>
      <c r="B31" s="78" t="s">
        <v>34</v>
      </c>
      <c r="C31" s="26">
        <f>10465.77+8877.79+21895.27</f>
        <v>41238.83</v>
      </c>
      <c r="D31" s="26">
        <f>6620+11334.4+25021.83</f>
        <v>42976.23</v>
      </c>
      <c r="E31" s="26">
        <f>3666.2+4959.76+8537.1</f>
        <v>17163.059999999998</v>
      </c>
      <c r="F31" s="26">
        <f>530.64+576.05+753.78</f>
        <v>1860.47</v>
      </c>
      <c r="G31" s="26">
        <f>1358.75+636+3370.23</f>
        <v>5364.98</v>
      </c>
      <c r="H31" s="27"/>
      <c r="I31" s="26"/>
      <c r="J31" s="26"/>
      <c r="K31" s="26"/>
      <c r="L31" s="26"/>
      <c r="M31" s="26"/>
      <c r="N31" s="26"/>
      <c r="O31" s="26"/>
      <c r="P31" s="26"/>
      <c r="Q31" s="79">
        <f t="shared" si="1"/>
        <v>0</v>
      </c>
      <c r="R31" s="80">
        <f t="shared" si="0"/>
        <v>108603.56999999999</v>
      </c>
      <c r="S31" s="81">
        <f t="shared" si="2"/>
        <v>108603.56999999999</v>
      </c>
    </row>
    <row r="32" spans="1:19" ht="15">
      <c r="A32" s="77">
        <v>30</v>
      </c>
      <c r="B32" s="78" t="s">
        <v>35</v>
      </c>
      <c r="C32" s="26">
        <f>27325.44+3774.68</f>
        <v>31100.12</v>
      </c>
      <c r="D32" s="26">
        <f>28419.77+2997.99</f>
        <v>31417.760000000002</v>
      </c>
      <c r="E32" s="26">
        <f>15323.65+1060.22</f>
        <v>16383.869999999999</v>
      </c>
      <c r="F32" s="26">
        <f>1846.11+274.86</f>
        <v>2120.97</v>
      </c>
      <c r="G32" s="26">
        <f>4374.59+684.67</f>
        <v>5059.26</v>
      </c>
      <c r="H32" s="27">
        <v>3426.82</v>
      </c>
      <c r="I32" s="26"/>
      <c r="J32" s="26"/>
      <c r="K32" s="26"/>
      <c r="L32" s="26"/>
      <c r="M32" s="26">
        <v>4251.21</v>
      </c>
      <c r="N32" s="26">
        <v>7826.2</v>
      </c>
      <c r="O32" s="26"/>
      <c r="P32" s="26"/>
      <c r="Q32" s="79">
        <f t="shared" si="1"/>
        <v>15504.23</v>
      </c>
      <c r="R32" s="80">
        <f t="shared" si="0"/>
        <v>101586.20999999999</v>
      </c>
      <c r="S32" s="81">
        <f t="shared" si="2"/>
        <v>86081.98</v>
      </c>
    </row>
    <row r="33" spans="1:19" ht="15">
      <c r="A33" s="77">
        <v>31</v>
      </c>
      <c r="B33" s="78" t="s">
        <v>36</v>
      </c>
      <c r="C33" s="26">
        <f>1519.01+4574.96</f>
        <v>6093.97</v>
      </c>
      <c r="D33" s="26">
        <f>1987.8+3822.25</f>
        <v>5810.05</v>
      </c>
      <c r="E33" s="26">
        <f>571.54+2051.22</f>
        <v>2622.7599999999998</v>
      </c>
      <c r="F33" s="26">
        <f>103.39+116.77</f>
        <v>220.16</v>
      </c>
      <c r="G33" s="26">
        <f>194.26+339.08</f>
        <v>533.3399999999999</v>
      </c>
      <c r="H33" s="27"/>
      <c r="I33" s="26"/>
      <c r="J33" s="26"/>
      <c r="K33" s="26"/>
      <c r="L33" s="26"/>
      <c r="M33" s="26"/>
      <c r="N33" s="26"/>
      <c r="O33" s="26"/>
      <c r="P33" s="26"/>
      <c r="Q33" s="79">
        <f t="shared" si="1"/>
        <v>0</v>
      </c>
      <c r="R33" s="80">
        <f t="shared" si="0"/>
        <v>15280.28</v>
      </c>
      <c r="S33" s="81">
        <f t="shared" si="2"/>
        <v>15280.28</v>
      </c>
    </row>
    <row r="34" spans="1:19" ht="15">
      <c r="A34" s="77">
        <v>32</v>
      </c>
      <c r="B34" s="78" t="s">
        <v>89</v>
      </c>
      <c r="C34" s="26">
        <v>6479.83</v>
      </c>
      <c r="D34" s="26">
        <v>7195.44</v>
      </c>
      <c r="E34" s="26">
        <v>4441.05</v>
      </c>
      <c r="F34" s="26">
        <v>506.63</v>
      </c>
      <c r="G34" s="26">
        <v>803.88</v>
      </c>
      <c r="H34" s="27"/>
      <c r="I34" s="26"/>
      <c r="J34" s="26"/>
      <c r="K34" s="26"/>
      <c r="L34" s="26"/>
      <c r="M34" s="26"/>
      <c r="N34" s="26"/>
      <c r="O34" s="26"/>
      <c r="P34" s="26"/>
      <c r="Q34" s="79">
        <f t="shared" si="1"/>
        <v>0</v>
      </c>
      <c r="R34" s="80">
        <f t="shared" si="0"/>
        <v>19426.83</v>
      </c>
      <c r="S34" s="81">
        <f t="shared" si="2"/>
        <v>19426.83</v>
      </c>
    </row>
    <row r="35" spans="1:19" ht="15">
      <c r="A35" s="77">
        <v>33</v>
      </c>
      <c r="B35" s="78" t="s">
        <v>92</v>
      </c>
      <c r="C35" s="26">
        <f>14375.11+3110.96+2864.14</f>
        <v>20350.21</v>
      </c>
      <c r="D35" s="26">
        <f>12791.73+2098.16+2758.49</f>
        <v>17648.379999999997</v>
      </c>
      <c r="E35" s="26">
        <f>13068.38+884.66+2897.16</f>
        <v>16850.199999999997</v>
      </c>
      <c r="F35" s="26">
        <f>1521.64+149.33+93.94</f>
        <v>1764.91</v>
      </c>
      <c r="G35" s="26">
        <f>1361.58+243.96+358.43</f>
        <v>1963.97</v>
      </c>
      <c r="H35" s="27"/>
      <c r="I35" s="26"/>
      <c r="J35" s="26">
        <v>5471.16</v>
      </c>
      <c r="K35" s="26"/>
      <c r="L35" s="26"/>
      <c r="M35" s="26">
        <v>2919.71</v>
      </c>
      <c r="N35" s="26"/>
      <c r="O35" s="26"/>
      <c r="P35" s="26">
        <v>3913.1</v>
      </c>
      <c r="Q35" s="79">
        <f t="shared" si="1"/>
        <v>12303.97</v>
      </c>
      <c r="R35" s="80">
        <f t="shared" si="0"/>
        <v>70881.64</v>
      </c>
      <c r="S35" s="81">
        <f t="shared" si="2"/>
        <v>58577.67</v>
      </c>
    </row>
    <row r="36" spans="1:19" ht="15">
      <c r="A36" s="77">
        <v>34</v>
      </c>
      <c r="B36" s="78" t="s">
        <v>93</v>
      </c>
      <c r="C36" s="26">
        <v>19446.89</v>
      </c>
      <c r="D36" s="26">
        <v>21534.22</v>
      </c>
      <c r="E36" s="26">
        <v>10465.26</v>
      </c>
      <c r="F36" s="26">
        <v>724.43</v>
      </c>
      <c r="G36" s="26">
        <v>2477.16</v>
      </c>
      <c r="H36" s="27">
        <v>4197.62</v>
      </c>
      <c r="I36" s="26"/>
      <c r="J36" s="26"/>
      <c r="K36" s="26"/>
      <c r="L36" s="26"/>
      <c r="M36" s="26"/>
      <c r="N36" s="26"/>
      <c r="O36" s="26"/>
      <c r="P36" s="26"/>
      <c r="Q36" s="79">
        <f t="shared" si="1"/>
        <v>4197.62</v>
      </c>
      <c r="R36" s="80">
        <f t="shared" si="0"/>
        <v>58845.58000000001</v>
      </c>
      <c r="S36" s="81">
        <f t="shared" si="2"/>
        <v>54647.96000000001</v>
      </c>
    </row>
    <row r="37" spans="1:19" ht="15">
      <c r="A37" s="77">
        <v>35</v>
      </c>
      <c r="B37" s="78" t="s">
        <v>95</v>
      </c>
      <c r="C37" s="26">
        <v>1699.79</v>
      </c>
      <c r="D37" s="26">
        <v>1128.11</v>
      </c>
      <c r="E37" s="26">
        <v>258.58</v>
      </c>
      <c r="F37" s="26">
        <v>126.63</v>
      </c>
      <c r="G37" s="26">
        <v>93</v>
      </c>
      <c r="H37" s="27"/>
      <c r="I37" s="26"/>
      <c r="J37" s="26"/>
      <c r="K37" s="26"/>
      <c r="L37" s="26"/>
      <c r="M37" s="26"/>
      <c r="N37" s="26"/>
      <c r="O37" s="26"/>
      <c r="P37" s="26"/>
      <c r="Q37" s="79">
        <f t="shared" si="1"/>
        <v>0</v>
      </c>
      <c r="R37" s="80">
        <f t="shared" si="0"/>
        <v>3306.1099999999997</v>
      </c>
      <c r="S37" s="81">
        <f t="shared" si="2"/>
        <v>3306.1099999999997</v>
      </c>
    </row>
    <row r="38" spans="1:19" ht="15">
      <c r="A38" s="77">
        <v>36</v>
      </c>
      <c r="B38" s="78" t="s">
        <v>98</v>
      </c>
      <c r="C38" s="26">
        <v>7524.76</v>
      </c>
      <c r="D38" s="26">
        <v>6213.89</v>
      </c>
      <c r="E38" s="26">
        <v>4764.21</v>
      </c>
      <c r="F38" s="26">
        <v>729.34</v>
      </c>
      <c r="G38" s="26">
        <v>985.2</v>
      </c>
      <c r="H38" s="27"/>
      <c r="I38" s="26"/>
      <c r="J38" s="26"/>
      <c r="K38" s="26"/>
      <c r="L38" s="26"/>
      <c r="M38" s="26"/>
      <c r="N38" s="26"/>
      <c r="O38" s="26"/>
      <c r="P38" s="26"/>
      <c r="Q38" s="79">
        <f t="shared" si="1"/>
        <v>0</v>
      </c>
      <c r="R38" s="80">
        <f t="shared" si="0"/>
        <v>20217.4</v>
      </c>
      <c r="S38" s="81">
        <f t="shared" si="2"/>
        <v>20217.4</v>
      </c>
    </row>
    <row r="39" spans="1:19" ht="15">
      <c r="A39" s="77">
        <v>37</v>
      </c>
      <c r="B39" s="78" t="s">
        <v>99</v>
      </c>
      <c r="C39" s="26">
        <v>6757.31</v>
      </c>
      <c r="D39" s="26">
        <v>4246.14</v>
      </c>
      <c r="E39" s="26">
        <v>4733.67</v>
      </c>
      <c r="F39" s="26">
        <v>46.15</v>
      </c>
      <c r="G39" s="26">
        <v>229.74</v>
      </c>
      <c r="H39" s="27"/>
      <c r="I39" s="26"/>
      <c r="J39" s="26"/>
      <c r="K39" s="26"/>
      <c r="L39" s="26"/>
      <c r="M39" s="26"/>
      <c r="N39" s="26"/>
      <c r="O39" s="26"/>
      <c r="P39" s="26"/>
      <c r="Q39" s="79">
        <f t="shared" si="1"/>
        <v>0</v>
      </c>
      <c r="R39" s="80">
        <f t="shared" si="0"/>
        <v>16013.01</v>
      </c>
      <c r="S39" s="81">
        <f t="shared" si="2"/>
        <v>16013.01</v>
      </c>
    </row>
    <row r="40" spans="1:34" s="65" customFormat="1" ht="15.75" thickBot="1">
      <c r="A40" s="77">
        <v>38</v>
      </c>
      <c r="B40" s="78" t="s">
        <v>107</v>
      </c>
      <c r="C40" s="26">
        <v>5843.7</v>
      </c>
      <c r="D40" s="26">
        <v>5958.58</v>
      </c>
      <c r="E40" s="26">
        <v>2803.04</v>
      </c>
      <c r="F40" s="26">
        <v>445.02</v>
      </c>
      <c r="G40" s="26">
        <v>487.3</v>
      </c>
      <c r="H40" s="27"/>
      <c r="I40" s="26"/>
      <c r="J40" s="26"/>
      <c r="K40" s="26"/>
      <c r="L40" s="26"/>
      <c r="M40" s="26"/>
      <c r="N40" s="26"/>
      <c r="O40" s="26"/>
      <c r="P40" s="26"/>
      <c r="Q40" s="79">
        <f t="shared" si="1"/>
        <v>0</v>
      </c>
      <c r="R40" s="80">
        <f t="shared" si="0"/>
        <v>15537.64</v>
      </c>
      <c r="S40" s="81">
        <f t="shared" si="2"/>
        <v>15537.64</v>
      </c>
      <c r="T40" s="86"/>
      <c r="U40" s="86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85"/>
    </row>
    <row r="41" spans="1:33" s="66" customFormat="1" ht="26.25" customHeight="1" thickBot="1">
      <c r="A41" s="83"/>
      <c r="B41" s="78" t="s">
        <v>37</v>
      </c>
      <c r="C41" s="84">
        <f>SUM(C3:C40)</f>
        <v>806147.5599999999</v>
      </c>
      <c r="D41" s="84">
        <f aca="true" t="shared" si="3" ref="D41:P41">SUM(D3:D40)</f>
        <v>792621.3400000002</v>
      </c>
      <c r="E41" s="84">
        <f t="shared" si="3"/>
        <v>745985.3099999999</v>
      </c>
      <c r="F41" s="84">
        <f t="shared" si="3"/>
        <v>62013.06999999999</v>
      </c>
      <c r="G41" s="84">
        <f t="shared" si="3"/>
        <v>96883.02000000003</v>
      </c>
      <c r="H41" s="84">
        <f t="shared" si="3"/>
        <v>75177.17000000001</v>
      </c>
      <c r="I41" s="84">
        <f t="shared" si="3"/>
        <v>0</v>
      </c>
      <c r="J41" s="84">
        <f t="shared" si="3"/>
        <v>21123.559999999998</v>
      </c>
      <c r="K41" s="84">
        <f t="shared" si="3"/>
        <v>163245.52000000002</v>
      </c>
      <c r="L41" s="84">
        <f t="shared" si="3"/>
        <v>1946.25</v>
      </c>
      <c r="M41" s="84">
        <f t="shared" si="3"/>
        <v>20181.26</v>
      </c>
      <c r="N41" s="84">
        <f t="shared" si="3"/>
        <v>92922.76</v>
      </c>
      <c r="O41" s="84">
        <f t="shared" si="3"/>
        <v>52503.57000000001</v>
      </c>
      <c r="P41" s="84">
        <f t="shared" si="3"/>
        <v>11739.3</v>
      </c>
      <c r="Q41" s="79">
        <f t="shared" si="1"/>
        <v>438839.39</v>
      </c>
      <c r="R41" s="80">
        <f t="shared" si="0"/>
        <v>2942489.69</v>
      </c>
      <c r="S41" s="81">
        <f t="shared" si="2"/>
        <v>2503650.3</v>
      </c>
      <c r="T41" s="86"/>
      <c r="U41" s="86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</row>
    <row r="42" spans="2:19" ht="15">
      <c r="B42" s="29"/>
      <c r="C42" s="30"/>
      <c r="D42" s="30"/>
      <c r="E42" s="30"/>
      <c r="F42" s="31"/>
      <c r="G42" s="31"/>
      <c r="H42" s="32"/>
      <c r="I42" s="30"/>
      <c r="J42" s="30"/>
      <c r="K42" s="30"/>
      <c r="L42" s="30"/>
      <c r="M42" s="30"/>
      <c r="N42" s="30"/>
      <c r="O42" s="30"/>
      <c r="P42" s="30"/>
      <c r="Q42" s="30"/>
      <c r="S42" s="32"/>
    </row>
    <row r="43" spans="2:19" ht="15">
      <c r="B43" s="33"/>
      <c r="C43" s="30"/>
      <c r="D43" s="30"/>
      <c r="E43" s="30"/>
      <c r="F43" s="31"/>
      <c r="G43" s="31"/>
      <c r="H43" s="32"/>
      <c r="I43" s="30"/>
      <c r="J43" s="30"/>
      <c r="K43" s="30"/>
      <c r="L43" s="30"/>
      <c r="M43" s="30"/>
      <c r="N43" s="30"/>
      <c r="O43" s="30"/>
      <c r="P43" s="30"/>
      <c r="Q43" s="30"/>
      <c r="S43" s="32"/>
    </row>
    <row r="44" spans="2:18" ht="13.5">
      <c r="B44" s="9"/>
      <c r="C44" s="1"/>
      <c r="D44" s="1"/>
      <c r="E44" s="1"/>
      <c r="F44" s="2"/>
      <c r="G44" s="2"/>
      <c r="H44" s="16"/>
      <c r="I44" s="1"/>
      <c r="J44" s="1"/>
      <c r="K44" s="1"/>
      <c r="L44" s="1"/>
      <c r="M44" s="1"/>
      <c r="N44" s="1"/>
      <c r="O44" s="1"/>
      <c r="P44" s="1"/>
      <c r="Q44" s="1"/>
      <c r="R44" s="3"/>
    </row>
    <row r="45" spans="2:17" ht="13.5">
      <c r="B45" s="9"/>
      <c r="C45" s="1"/>
      <c r="D45" s="1"/>
      <c r="E45" s="1"/>
      <c r="F45" s="2"/>
      <c r="G45" s="2"/>
      <c r="H45" s="17"/>
      <c r="I45" s="1"/>
      <c r="J45" s="1"/>
      <c r="K45" s="1"/>
      <c r="L45" s="1"/>
      <c r="M45" s="1"/>
      <c r="N45" s="1"/>
      <c r="O45" s="1"/>
      <c r="P45" s="1"/>
      <c r="Q45" s="1"/>
    </row>
    <row r="46" spans="2:17" ht="13.5">
      <c r="B46" s="9"/>
      <c r="C46" s="1"/>
      <c r="D46" s="1"/>
      <c r="E46" s="1"/>
      <c r="F46" s="2"/>
      <c r="G46" s="2"/>
      <c r="H46" s="16"/>
      <c r="I46" s="1"/>
      <c r="J46" s="1"/>
      <c r="K46" s="1"/>
      <c r="L46" s="1"/>
      <c r="M46" s="1"/>
      <c r="N46" s="1"/>
      <c r="O46" s="1"/>
      <c r="P46" s="1"/>
      <c r="Q46" s="1"/>
    </row>
    <row r="47" spans="2:17" ht="13.5">
      <c r="B47" s="9"/>
      <c r="C47" s="1"/>
      <c r="D47" s="1"/>
      <c r="E47" s="1"/>
      <c r="F47" s="2"/>
      <c r="G47" s="2"/>
      <c r="H47" s="16"/>
      <c r="I47" s="1"/>
      <c r="J47" s="1"/>
      <c r="K47" s="1"/>
      <c r="L47" s="1"/>
      <c r="M47" s="1"/>
      <c r="N47" s="1"/>
      <c r="O47" s="1"/>
      <c r="P47" s="1"/>
      <c r="Q47" s="1"/>
    </row>
    <row r="48" ht="12.75">
      <c r="B48" s="15"/>
    </row>
    <row r="49" spans="2:11" ht="12.75">
      <c r="B49" s="10"/>
      <c r="F49" s="3"/>
      <c r="G49" s="3"/>
      <c r="K49" s="3"/>
    </row>
    <row r="50" ht="12.75">
      <c r="B50" s="10"/>
    </row>
    <row r="51" ht="12.75">
      <c r="B51" s="10"/>
    </row>
    <row r="52" ht="12.75">
      <c r="B52" s="10"/>
    </row>
    <row r="53" ht="12.75">
      <c r="B53" s="10"/>
    </row>
    <row r="54" ht="12.75">
      <c r="B54" s="10"/>
    </row>
    <row r="55" ht="12.75">
      <c r="B55" s="10"/>
    </row>
    <row r="56" ht="12.75">
      <c r="B56" s="10"/>
    </row>
    <row r="57" ht="12.75">
      <c r="B57" s="10"/>
    </row>
    <row r="58" spans="2:19" ht="12.75">
      <c r="B58" s="11"/>
      <c r="C58" s="4"/>
      <c r="D58" s="4"/>
      <c r="E58" s="4"/>
      <c r="F58" s="4"/>
      <c r="G58" s="4"/>
      <c r="H58" s="19"/>
      <c r="I58" s="4"/>
      <c r="J58" s="4"/>
      <c r="K58" s="4"/>
      <c r="L58" s="4"/>
      <c r="M58" s="4"/>
      <c r="N58" s="4"/>
      <c r="O58" s="4"/>
      <c r="P58" s="4"/>
      <c r="Q58" s="4"/>
      <c r="R58" s="4"/>
      <c r="S58" s="14"/>
    </row>
    <row r="59" spans="2:19" ht="12.75">
      <c r="B59" s="11"/>
      <c r="C59" s="4"/>
      <c r="D59" s="4"/>
      <c r="E59" s="4"/>
      <c r="F59" s="4"/>
      <c r="G59" s="4"/>
      <c r="H59" s="19"/>
      <c r="I59" s="4"/>
      <c r="J59" s="4"/>
      <c r="K59" s="4"/>
      <c r="L59" s="4"/>
      <c r="M59" s="4"/>
      <c r="N59" s="4"/>
      <c r="O59" s="4"/>
      <c r="P59" s="4"/>
      <c r="Q59" s="4"/>
      <c r="R59" s="4"/>
      <c r="S59" s="14"/>
    </row>
    <row r="60" spans="2:19" ht="12.75">
      <c r="B60" s="11"/>
      <c r="C60" s="4"/>
      <c r="D60" s="4"/>
      <c r="E60" s="4"/>
      <c r="F60" s="4"/>
      <c r="G60" s="4"/>
      <c r="H60" s="19"/>
      <c r="I60" s="4"/>
      <c r="J60" s="4"/>
      <c r="K60" s="4"/>
      <c r="L60" s="4"/>
      <c r="M60" s="4"/>
      <c r="N60" s="4"/>
      <c r="O60" s="4"/>
      <c r="P60" s="4"/>
      <c r="Q60" s="4"/>
      <c r="R60" s="4"/>
      <c r="S60" s="14"/>
    </row>
    <row r="61" ht="12.75">
      <c r="B61" s="10"/>
    </row>
    <row r="62" ht="12.75">
      <c r="B62" s="10"/>
    </row>
    <row r="63" ht="12.75">
      <c r="B63" s="10"/>
    </row>
    <row r="64" ht="12.75">
      <c r="B64" s="10"/>
    </row>
    <row r="65" ht="12.75">
      <c r="B65" s="10"/>
    </row>
    <row r="66" ht="12.75">
      <c r="B66" s="10"/>
    </row>
    <row r="67" ht="12.75">
      <c r="B67" s="10"/>
    </row>
    <row r="68" ht="12.75">
      <c r="B68" s="10"/>
    </row>
    <row r="69" ht="12.75">
      <c r="B69" s="10"/>
    </row>
    <row r="70" ht="12.75">
      <c r="B70" s="10"/>
    </row>
    <row r="71" ht="12.75">
      <c r="B71" s="10"/>
    </row>
    <row r="72" ht="12.75">
      <c r="B72" s="10"/>
    </row>
    <row r="73" ht="12.75">
      <c r="B73" s="10"/>
    </row>
    <row r="74" ht="12.75">
      <c r="B74" s="10"/>
    </row>
    <row r="75" ht="12.75">
      <c r="B75" s="10"/>
    </row>
    <row r="76" ht="12.75">
      <c r="B76" s="10"/>
    </row>
    <row r="77" ht="12.75">
      <c r="B77" s="10"/>
    </row>
    <row r="78" ht="12.75">
      <c r="B78" s="10"/>
    </row>
    <row r="79" ht="12.75">
      <c r="B79" s="10"/>
    </row>
    <row r="80" ht="12.75">
      <c r="B80" s="10"/>
    </row>
    <row r="81" ht="12.75">
      <c r="B81" s="10"/>
    </row>
    <row r="82" ht="12.75">
      <c r="B82" s="10"/>
    </row>
    <row r="83" ht="12.75">
      <c r="B83" s="10"/>
    </row>
    <row r="84" ht="12.75">
      <c r="B84" s="10"/>
    </row>
    <row r="85" ht="12.75">
      <c r="B85" s="10"/>
    </row>
    <row r="86" ht="12.75">
      <c r="B86" s="10"/>
    </row>
    <row r="87" ht="12.75">
      <c r="B87" s="10"/>
    </row>
    <row r="88" ht="12.75">
      <c r="B88" s="10"/>
    </row>
    <row r="89" ht="12.75">
      <c r="B89" s="10"/>
    </row>
    <row r="90" ht="12.75">
      <c r="B90" s="10"/>
    </row>
    <row r="91" ht="12.75">
      <c r="B91" s="10"/>
    </row>
    <row r="92" ht="12.75">
      <c r="B92" s="10"/>
    </row>
    <row r="93" ht="12.75">
      <c r="B93" s="10"/>
    </row>
    <row r="94" ht="12.75">
      <c r="B94" s="10"/>
    </row>
    <row r="95" ht="12.75">
      <c r="B95" s="10"/>
    </row>
    <row r="96" ht="12.75">
      <c r="B96" s="10"/>
    </row>
    <row r="97" ht="12.75">
      <c r="B97" s="10"/>
    </row>
    <row r="98" ht="12.75">
      <c r="B98" s="10"/>
    </row>
    <row r="99" ht="12.75">
      <c r="B99" s="10"/>
    </row>
    <row r="100" ht="12.75">
      <c r="B100" s="10"/>
    </row>
    <row r="101" ht="12.75">
      <c r="B101" s="10"/>
    </row>
    <row r="102" ht="12.75">
      <c r="B102" s="10"/>
    </row>
    <row r="103" ht="12.75">
      <c r="B103" s="10"/>
    </row>
    <row r="104" ht="12.75">
      <c r="B104" s="10"/>
    </row>
    <row r="105" ht="12.75">
      <c r="B105" s="10"/>
    </row>
    <row r="106" ht="12.75">
      <c r="B106" s="10"/>
    </row>
    <row r="107" ht="12.75">
      <c r="B107" s="10"/>
    </row>
    <row r="108" ht="12.75">
      <c r="B108" s="10"/>
    </row>
    <row r="109" ht="12.75">
      <c r="B109" s="10"/>
    </row>
    <row r="110" ht="12.75">
      <c r="B110" s="10"/>
    </row>
    <row r="111" ht="12.75">
      <c r="B111" s="10"/>
    </row>
    <row r="112" ht="12.75">
      <c r="B112" s="10"/>
    </row>
    <row r="113" ht="12.75">
      <c r="B113" s="10"/>
    </row>
    <row r="114" ht="12.75">
      <c r="B114" s="10"/>
    </row>
    <row r="115" ht="12.75">
      <c r="B115" s="10"/>
    </row>
    <row r="116" ht="12.75">
      <c r="B116" s="10"/>
    </row>
    <row r="117" ht="12.75">
      <c r="B117" s="10"/>
    </row>
    <row r="118" ht="12.75">
      <c r="B118" s="10"/>
    </row>
    <row r="119" ht="12.75">
      <c r="B119" s="10"/>
    </row>
    <row r="120" ht="12.75">
      <c r="B120" s="10"/>
    </row>
    <row r="121" ht="12.75">
      <c r="B121" s="10"/>
    </row>
    <row r="122" ht="12.75">
      <c r="B122" s="10"/>
    </row>
    <row r="123" ht="12.75">
      <c r="B123" s="10"/>
    </row>
    <row r="124" ht="12.75">
      <c r="B124" s="10"/>
    </row>
    <row r="125" ht="12.75">
      <c r="B125" s="10"/>
    </row>
    <row r="126" ht="12.75">
      <c r="B126" s="10"/>
    </row>
    <row r="127" ht="12.75">
      <c r="B127" s="10"/>
    </row>
    <row r="128" ht="12.75">
      <c r="B128" s="10"/>
    </row>
    <row r="129" ht="12.75">
      <c r="B129" s="10"/>
    </row>
    <row r="130" ht="12.75">
      <c r="B130" s="10"/>
    </row>
    <row r="131" ht="12.75">
      <c r="B131" s="10"/>
    </row>
    <row r="132" ht="12.75">
      <c r="B132" s="10"/>
    </row>
    <row r="133" ht="12.75">
      <c r="B133" s="10"/>
    </row>
    <row r="134" ht="12.75">
      <c r="B134" s="10"/>
    </row>
    <row r="135" ht="12.75">
      <c r="B135" s="10"/>
    </row>
    <row r="136" ht="12.75">
      <c r="B136" s="10"/>
    </row>
    <row r="137" ht="12.75">
      <c r="B137" s="10"/>
    </row>
    <row r="138" ht="12.75">
      <c r="B138" s="10"/>
    </row>
    <row r="139" ht="12.75">
      <c r="B139" s="10"/>
    </row>
    <row r="140" ht="12.75">
      <c r="B140" s="10"/>
    </row>
    <row r="141" ht="12.75">
      <c r="B141" s="10"/>
    </row>
    <row r="142" ht="12.75">
      <c r="B142" s="10"/>
    </row>
    <row r="143" ht="12.75">
      <c r="B143" s="10"/>
    </row>
    <row r="144" ht="12.75">
      <c r="B144" s="10"/>
    </row>
    <row r="145" ht="12.75">
      <c r="B145" s="10"/>
    </row>
    <row r="146" ht="12.75">
      <c r="B146" s="10"/>
    </row>
    <row r="147" ht="12.75">
      <c r="B147" s="10"/>
    </row>
    <row r="148" ht="12.75">
      <c r="B148" s="10"/>
    </row>
    <row r="149" ht="12.75">
      <c r="B149" s="10"/>
    </row>
    <row r="150" ht="12.75">
      <c r="B150" s="10"/>
    </row>
    <row r="151" ht="12.75">
      <c r="B151" s="10"/>
    </row>
    <row r="152" ht="12.75">
      <c r="B152" s="10"/>
    </row>
    <row r="153" ht="12.75">
      <c r="B153" s="10"/>
    </row>
    <row r="154" ht="12.75">
      <c r="B154" s="10"/>
    </row>
    <row r="155" ht="12.75">
      <c r="B155" s="10"/>
    </row>
    <row r="156" ht="12.75">
      <c r="B156" s="10"/>
    </row>
    <row r="157" ht="12.75">
      <c r="B157" s="10"/>
    </row>
    <row r="158" ht="12.75">
      <c r="B158" s="10"/>
    </row>
    <row r="159" ht="12.75">
      <c r="B159" s="10"/>
    </row>
    <row r="160" ht="12.75">
      <c r="B160" s="10"/>
    </row>
    <row r="161" ht="12.75">
      <c r="B161" s="10"/>
    </row>
    <row r="162" ht="12.75">
      <c r="B162" s="10"/>
    </row>
    <row r="163" ht="12.75">
      <c r="B163" s="10"/>
    </row>
    <row r="164" ht="12.75">
      <c r="B164" s="10"/>
    </row>
    <row r="165" ht="12.75">
      <c r="B165" s="10"/>
    </row>
    <row r="166" ht="12.75">
      <c r="B166" s="10"/>
    </row>
    <row r="167" ht="12.75">
      <c r="B167" s="10"/>
    </row>
    <row r="168" ht="12.75">
      <c r="B168" s="10"/>
    </row>
    <row r="169" ht="12.75">
      <c r="B169" s="10"/>
    </row>
    <row r="170" ht="12.75">
      <c r="B170" s="10"/>
    </row>
    <row r="171" ht="12.75">
      <c r="B171" s="10"/>
    </row>
    <row r="172" ht="12.75">
      <c r="B172" s="10"/>
    </row>
    <row r="173" ht="12.75">
      <c r="B173" s="10"/>
    </row>
    <row r="174" ht="12.75">
      <c r="B174" s="10"/>
    </row>
    <row r="175" ht="12.75">
      <c r="B175" s="10"/>
    </row>
    <row r="176" ht="12.75">
      <c r="B176" s="10"/>
    </row>
    <row r="177" ht="12.75">
      <c r="B177" s="10"/>
    </row>
    <row r="178" ht="12.75">
      <c r="B178" s="10"/>
    </row>
    <row r="179" ht="12.75">
      <c r="B179" s="10"/>
    </row>
    <row r="180" ht="12.75">
      <c r="B180" s="10"/>
    </row>
    <row r="181" ht="12.75">
      <c r="B181" s="10"/>
    </row>
    <row r="182" ht="12.75">
      <c r="B182" s="10"/>
    </row>
    <row r="183" ht="12.75">
      <c r="B183" s="10"/>
    </row>
    <row r="184" ht="12.75">
      <c r="B184" s="10"/>
    </row>
    <row r="185" ht="12.75">
      <c r="B185" s="10"/>
    </row>
    <row r="186" ht="12.75">
      <c r="B186" s="10"/>
    </row>
    <row r="187" ht="12.75">
      <c r="B187" s="10"/>
    </row>
    <row r="188" ht="12.75">
      <c r="B188" s="10"/>
    </row>
    <row r="189" ht="12.75">
      <c r="B189" s="10"/>
    </row>
    <row r="190" ht="12.75">
      <c r="B190" s="10"/>
    </row>
    <row r="191" ht="12.75">
      <c r="B191" s="10"/>
    </row>
    <row r="192" ht="12.75">
      <c r="B192" s="10"/>
    </row>
    <row r="193" ht="12.75">
      <c r="B193" s="10"/>
    </row>
    <row r="194" ht="12.75">
      <c r="B194" s="10"/>
    </row>
    <row r="195" ht="12.75">
      <c r="B195" s="10"/>
    </row>
    <row r="196" ht="12.75">
      <c r="B196" s="10"/>
    </row>
    <row r="197" ht="12.75">
      <c r="B197" s="10"/>
    </row>
    <row r="198" ht="12.75">
      <c r="B198" s="10"/>
    </row>
    <row r="199" ht="12.75">
      <c r="B199" s="10"/>
    </row>
    <row r="200" ht="12.75">
      <c r="B200" s="10"/>
    </row>
    <row r="201" ht="12.75">
      <c r="B201" s="10"/>
    </row>
    <row r="202" ht="12.75">
      <c r="B202" s="10"/>
    </row>
    <row r="203" ht="12.75">
      <c r="B203" s="10"/>
    </row>
    <row r="204" ht="12.75">
      <c r="B204" s="10"/>
    </row>
    <row r="205" ht="12.75">
      <c r="B205" s="10"/>
    </row>
    <row r="206" ht="12.75">
      <c r="B206" s="10"/>
    </row>
    <row r="207" ht="12.75">
      <c r="B207" s="10"/>
    </row>
    <row r="208" ht="12.75">
      <c r="B208" s="10"/>
    </row>
    <row r="209" ht="12.75">
      <c r="B209" s="10"/>
    </row>
    <row r="210" ht="12.75">
      <c r="B210" s="10"/>
    </row>
    <row r="211" ht="12.75">
      <c r="B211" s="10"/>
    </row>
    <row r="212" ht="12.75">
      <c r="B212" s="10"/>
    </row>
    <row r="213" ht="12.75">
      <c r="B213" s="10"/>
    </row>
    <row r="214" ht="12.75">
      <c r="B214" s="10"/>
    </row>
    <row r="215" ht="12.75">
      <c r="B215" s="10"/>
    </row>
    <row r="216" ht="12.75">
      <c r="B216" s="10"/>
    </row>
    <row r="217" ht="12.75">
      <c r="B217" s="10"/>
    </row>
    <row r="218" ht="12.75">
      <c r="B218" s="10"/>
    </row>
    <row r="219" ht="12.75">
      <c r="B219" s="10"/>
    </row>
    <row r="220" ht="12.75">
      <c r="B220" s="10"/>
    </row>
    <row r="221" ht="12.75">
      <c r="B221" s="10"/>
    </row>
    <row r="222" ht="12.75">
      <c r="B222" s="10"/>
    </row>
    <row r="223" ht="12.75">
      <c r="B223" s="10"/>
    </row>
    <row r="224" ht="12.75">
      <c r="B224" s="10"/>
    </row>
    <row r="225" ht="12.75">
      <c r="B225" s="10"/>
    </row>
    <row r="226" ht="12.75">
      <c r="B226" s="10"/>
    </row>
    <row r="227" ht="12.75">
      <c r="B227" s="10"/>
    </row>
    <row r="228" ht="12.75">
      <c r="B228" s="10"/>
    </row>
    <row r="229" ht="12.75">
      <c r="B229" s="10"/>
    </row>
    <row r="230" ht="12.75">
      <c r="B230" s="10"/>
    </row>
    <row r="231" ht="12.75">
      <c r="B231" s="10"/>
    </row>
    <row r="232" ht="12.75">
      <c r="B232" s="10"/>
    </row>
    <row r="233" ht="12.75">
      <c r="B233" s="10"/>
    </row>
    <row r="234" ht="12.75">
      <c r="B234" s="10"/>
    </row>
    <row r="235" ht="12.75">
      <c r="B235" s="10"/>
    </row>
    <row r="236" ht="12.75">
      <c r="B236" s="10"/>
    </row>
    <row r="237" ht="12.75">
      <c r="B237" s="10"/>
    </row>
    <row r="238" ht="12.75">
      <c r="B238" s="10"/>
    </row>
    <row r="239" ht="12.75">
      <c r="B239" s="10"/>
    </row>
    <row r="240" ht="12.75">
      <c r="B240" s="10"/>
    </row>
    <row r="241" ht="12.75">
      <c r="B241" s="10"/>
    </row>
    <row r="242" ht="12.75">
      <c r="B242" s="10"/>
    </row>
    <row r="243" ht="12.75">
      <c r="B243" s="10"/>
    </row>
    <row r="244" ht="12.75">
      <c r="B244" s="10"/>
    </row>
    <row r="245" ht="12.75">
      <c r="B245" s="10"/>
    </row>
    <row r="246" ht="12.75">
      <c r="B246" s="10"/>
    </row>
    <row r="247" ht="12.75">
      <c r="B247" s="10"/>
    </row>
    <row r="248" ht="12.75">
      <c r="B248" s="10"/>
    </row>
    <row r="249" ht="12.75">
      <c r="B249" s="10"/>
    </row>
    <row r="250" ht="12.75">
      <c r="B250" s="10"/>
    </row>
    <row r="251" ht="12.75">
      <c r="B251" s="10"/>
    </row>
    <row r="252" ht="12.75">
      <c r="B252" s="10"/>
    </row>
    <row r="253" ht="12.75">
      <c r="B253" s="10"/>
    </row>
    <row r="254" ht="12.75">
      <c r="B254" s="10"/>
    </row>
    <row r="255" ht="12.75">
      <c r="B255" s="10"/>
    </row>
    <row r="256" ht="12.75">
      <c r="B256" s="10"/>
    </row>
    <row r="257" ht="12.75">
      <c r="B257" s="10"/>
    </row>
    <row r="258" ht="12.75">
      <c r="B258" s="10"/>
    </row>
    <row r="259" ht="12.75">
      <c r="B259" s="10"/>
    </row>
    <row r="260" ht="12.75">
      <c r="B260" s="10"/>
    </row>
    <row r="261" ht="12.75">
      <c r="B261" s="10"/>
    </row>
    <row r="262" ht="12.75">
      <c r="B262" s="10"/>
    </row>
    <row r="263" ht="12.75">
      <c r="B263" s="10"/>
    </row>
    <row r="264" ht="12.75">
      <c r="B264" s="10"/>
    </row>
    <row r="265" ht="12.75">
      <c r="B265" s="10"/>
    </row>
    <row r="266" ht="12.75">
      <c r="B266" s="10"/>
    </row>
    <row r="267" ht="12.75">
      <c r="B267" s="10"/>
    </row>
    <row r="268" ht="12.75">
      <c r="B268" s="10"/>
    </row>
    <row r="269" ht="12.75">
      <c r="B269" s="10"/>
    </row>
    <row r="270" ht="12.75">
      <c r="B270" s="10"/>
    </row>
    <row r="271" ht="12.75">
      <c r="B271" s="10"/>
    </row>
    <row r="272" ht="12.75">
      <c r="B272" s="10"/>
    </row>
  </sheetData>
  <printOptions/>
  <pageMargins left="0.75" right="0.75" top="1" bottom="1" header="0.5" footer="0.5"/>
  <pageSetup horizontalDpi="300" verticalDpi="300" orientation="landscape" paperSize="9" scale="3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3:H46"/>
  <sheetViews>
    <sheetView workbookViewId="0" topLeftCell="A1">
      <selection activeCell="H11" sqref="H11"/>
    </sheetView>
  </sheetViews>
  <sheetFormatPr defaultColWidth="9.140625" defaultRowHeight="12.75"/>
  <cols>
    <col min="2" max="2" width="27.57421875" style="0" customWidth="1"/>
    <col min="3" max="3" width="12.00390625" style="0" customWidth="1"/>
    <col min="8" max="8" width="12.7109375" style="0" customWidth="1"/>
  </cols>
  <sheetData>
    <row r="3" spans="1:8" ht="13.5">
      <c r="A3" s="88" t="s">
        <v>126</v>
      </c>
      <c r="B3" s="88"/>
      <c r="C3" s="88"/>
      <c r="D3" s="88"/>
      <c r="E3" s="88"/>
      <c r="F3" s="88"/>
      <c r="G3" s="88"/>
      <c r="H3" s="88"/>
    </row>
    <row r="4" spans="1:8" ht="13.5">
      <c r="A4" s="36"/>
      <c r="B4" s="36"/>
      <c r="C4" s="38"/>
      <c r="D4" s="1"/>
      <c r="E4" s="1"/>
      <c r="F4" s="1"/>
      <c r="G4" s="36"/>
      <c r="H4" s="36"/>
    </row>
    <row r="5" spans="1:8" ht="41.25">
      <c r="A5" s="49" t="s">
        <v>0</v>
      </c>
      <c r="B5" s="49" t="s">
        <v>1</v>
      </c>
      <c r="C5" s="51" t="s">
        <v>53</v>
      </c>
      <c r="D5" s="48"/>
      <c r="E5" s="1"/>
      <c r="F5" s="1"/>
      <c r="G5" s="36"/>
      <c r="H5" s="36"/>
    </row>
    <row r="6" spans="1:8" ht="13.5">
      <c r="A6" s="39" t="s">
        <v>81</v>
      </c>
      <c r="B6" s="7" t="s">
        <v>6</v>
      </c>
      <c r="C6" s="8">
        <v>420.54</v>
      </c>
      <c r="D6" s="12"/>
      <c r="E6" s="1"/>
      <c r="F6" s="1"/>
      <c r="G6" s="36"/>
      <c r="H6" s="36"/>
    </row>
    <row r="7" spans="1:8" ht="13.5">
      <c r="A7" s="39" t="s">
        <v>54</v>
      </c>
      <c r="B7" s="7" t="s">
        <v>41</v>
      </c>
      <c r="C7" s="47"/>
      <c r="D7" s="12"/>
      <c r="E7" s="1"/>
      <c r="F7" s="1"/>
      <c r="G7" s="36"/>
      <c r="H7" s="36"/>
    </row>
    <row r="8" spans="1:8" ht="13.5">
      <c r="A8" s="39" t="s">
        <v>55</v>
      </c>
      <c r="B8" s="7" t="s">
        <v>8</v>
      </c>
      <c r="C8" s="47"/>
      <c r="D8" s="12"/>
      <c r="E8" s="1"/>
      <c r="F8" s="1"/>
      <c r="G8" s="36"/>
      <c r="H8" s="36"/>
    </row>
    <row r="9" spans="1:8" ht="13.5">
      <c r="A9" s="39" t="s">
        <v>56</v>
      </c>
      <c r="B9" s="7" t="s">
        <v>9</v>
      </c>
      <c r="C9" s="47"/>
      <c r="D9" s="12"/>
      <c r="E9" s="1"/>
      <c r="F9" s="1"/>
      <c r="G9" s="36"/>
      <c r="H9" s="36"/>
    </row>
    <row r="10" spans="1:8" ht="13.5">
      <c r="A10" s="39" t="s">
        <v>57</v>
      </c>
      <c r="B10" s="7" t="s">
        <v>10</v>
      </c>
      <c r="C10" s="47"/>
      <c r="D10" s="12"/>
      <c r="E10" s="1"/>
      <c r="F10" s="1"/>
      <c r="G10" s="36"/>
      <c r="H10" s="36"/>
    </row>
    <row r="11" spans="1:8" ht="13.5">
      <c r="A11" s="39" t="s">
        <v>58</v>
      </c>
      <c r="B11" s="7" t="s">
        <v>11</v>
      </c>
      <c r="C11" s="47"/>
      <c r="D11" s="12"/>
      <c r="E11" s="1"/>
      <c r="F11" s="1"/>
      <c r="G11" s="36"/>
      <c r="H11" s="36"/>
    </row>
    <row r="12" spans="1:8" ht="13.5">
      <c r="A12" s="39" t="s">
        <v>59</v>
      </c>
      <c r="B12" s="7" t="s">
        <v>12</v>
      </c>
      <c r="C12" s="47"/>
      <c r="D12" s="12"/>
      <c r="E12" s="1"/>
      <c r="F12" s="1"/>
      <c r="G12" s="36"/>
      <c r="H12" s="36"/>
    </row>
    <row r="13" spans="1:8" ht="13.5">
      <c r="A13" s="39" t="s">
        <v>60</v>
      </c>
      <c r="B13" s="7" t="s">
        <v>13</v>
      </c>
      <c r="C13" s="47"/>
      <c r="D13" s="12"/>
      <c r="E13" s="1"/>
      <c r="F13" s="1"/>
      <c r="G13" s="36"/>
      <c r="H13" s="36"/>
    </row>
    <row r="14" spans="1:8" ht="13.5">
      <c r="A14" s="39" t="s">
        <v>61</v>
      </c>
      <c r="B14" s="7" t="s">
        <v>14</v>
      </c>
      <c r="C14" s="47"/>
      <c r="D14" s="12"/>
      <c r="E14" s="1"/>
      <c r="F14" s="1"/>
      <c r="G14" s="36"/>
      <c r="H14" s="36"/>
    </row>
    <row r="15" spans="1:8" ht="13.5">
      <c r="A15" s="39" t="s">
        <v>62</v>
      </c>
      <c r="B15" s="7" t="s">
        <v>15</v>
      </c>
      <c r="C15" s="47"/>
      <c r="D15" s="12"/>
      <c r="E15" s="1"/>
      <c r="F15" s="1"/>
      <c r="G15" s="36"/>
      <c r="H15" s="36"/>
    </row>
    <row r="16" spans="1:8" ht="13.5">
      <c r="A16" s="39" t="s">
        <v>63</v>
      </c>
      <c r="B16" s="7" t="s">
        <v>16</v>
      </c>
      <c r="C16" s="47"/>
      <c r="D16" s="12"/>
      <c r="E16" s="1"/>
      <c r="F16" s="1"/>
      <c r="G16" s="36"/>
      <c r="H16" s="36"/>
    </row>
    <row r="17" spans="1:8" ht="13.5">
      <c r="A17" s="39" t="s">
        <v>64</v>
      </c>
      <c r="B17" s="7" t="s">
        <v>42</v>
      </c>
      <c r="C17" s="47"/>
      <c r="D17" s="12"/>
      <c r="E17" s="1"/>
      <c r="F17" s="1"/>
      <c r="G17" s="36"/>
      <c r="H17" s="36"/>
    </row>
    <row r="18" spans="1:8" ht="13.5">
      <c r="A18" s="39" t="s">
        <v>65</v>
      </c>
      <c r="B18" s="7" t="s">
        <v>18</v>
      </c>
      <c r="C18" s="47"/>
      <c r="D18" s="12"/>
      <c r="E18" s="1"/>
      <c r="F18" s="1"/>
      <c r="G18" s="36"/>
      <c r="H18" s="36"/>
    </row>
    <row r="19" spans="1:8" ht="13.5">
      <c r="A19" s="39" t="s">
        <v>66</v>
      </c>
      <c r="B19" s="7" t="s">
        <v>19</v>
      </c>
      <c r="C19" s="47"/>
      <c r="D19" s="12"/>
      <c r="E19" s="1"/>
      <c r="F19" s="1"/>
      <c r="G19" s="36"/>
      <c r="H19" s="36"/>
    </row>
    <row r="20" spans="1:8" ht="13.5">
      <c r="A20" s="39" t="s">
        <v>67</v>
      </c>
      <c r="B20" s="7" t="s">
        <v>20</v>
      </c>
      <c r="C20" s="8"/>
      <c r="D20" s="12"/>
      <c r="E20" s="1"/>
      <c r="F20" s="1"/>
      <c r="G20" s="36"/>
      <c r="H20" s="36"/>
    </row>
    <row r="21" spans="1:8" ht="13.5">
      <c r="A21" s="39" t="s">
        <v>68</v>
      </c>
      <c r="B21" s="7" t="s">
        <v>21</v>
      </c>
      <c r="C21" s="47"/>
      <c r="D21" s="12"/>
      <c r="E21" s="1"/>
      <c r="F21" s="1"/>
      <c r="G21" s="36"/>
      <c r="H21" s="36"/>
    </row>
    <row r="22" spans="1:8" ht="13.5">
      <c r="A22" s="39" t="s">
        <v>69</v>
      </c>
      <c r="B22" s="7" t="s">
        <v>22</v>
      </c>
      <c r="C22" s="47"/>
      <c r="D22" s="12"/>
      <c r="E22" s="1"/>
      <c r="F22" s="1"/>
      <c r="G22" s="36"/>
      <c r="H22" s="36"/>
    </row>
    <row r="23" spans="1:8" ht="13.5">
      <c r="A23" s="39" t="s">
        <v>70</v>
      </c>
      <c r="B23" s="7" t="s">
        <v>23</v>
      </c>
      <c r="C23" s="47"/>
      <c r="D23" s="12"/>
      <c r="E23" s="1"/>
      <c r="F23" s="1"/>
      <c r="G23" s="36"/>
      <c r="H23" s="36"/>
    </row>
    <row r="24" spans="1:8" ht="13.5">
      <c r="A24" s="39" t="s">
        <v>71</v>
      </c>
      <c r="B24" s="7" t="s">
        <v>24</v>
      </c>
      <c r="C24" s="47"/>
      <c r="D24" s="12"/>
      <c r="E24" s="1"/>
      <c r="F24" s="1"/>
      <c r="G24" s="36"/>
      <c r="H24" s="36"/>
    </row>
    <row r="25" spans="1:8" ht="13.5">
      <c r="A25" s="39" t="s">
        <v>72</v>
      </c>
      <c r="B25" s="7" t="s">
        <v>25</v>
      </c>
      <c r="C25" s="47"/>
      <c r="D25" s="12"/>
      <c r="E25" s="1"/>
      <c r="F25" s="1"/>
      <c r="G25" s="36"/>
      <c r="H25" s="36"/>
    </row>
    <row r="26" spans="1:8" ht="13.5">
      <c r="A26" s="39" t="s">
        <v>73</v>
      </c>
      <c r="B26" s="7" t="s">
        <v>26</v>
      </c>
      <c r="C26" s="47"/>
      <c r="D26" s="12"/>
      <c r="E26" s="1"/>
      <c r="F26" s="1"/>
      <c r="G26" s="36"/>
      <c r="H26" s="36"/>
    </row>
    <row r="27" spans="1:8" ht="13.5">
      <c r="A27" s="39" t="s">
        <v>74</v>
      </c>
      <c r="B27" s="7" t="s">
        <v>27</v>
      </c>
      <c r="C27" s="47"/>
      <c r="D27" s="12"/>
      <c r="E27" s="1"/>
      <c r="F27" s="1"/>
      <c r="G27" s="36"/>
      <c r="H27" s="36"/>
    </row>
    <row r="28" spans="1:8" ht="13.5">
      <c r="A28" s="39" t="s">
        <v>75</v>
      </c>
      <c r="B28" s="7" t="s">
        <v>28</v>
      </c>
      <c r="C28" s="47"/>
      <c r="D28" s="12"/>
      <c r="E28" s="1"/>
      <c r="F28" s="1"/>
      <c r="G28" s="36"/>
      <c r="H28" s="36"/>
    </row>
    <row r="29" spans="1:8" ht="13.5">
      <c r="A29" s="39" t="s">
        <v>76</v>
      </c>
      <c r="B29" s="7" t="s">
        <v>29</v>
      </c>
      <c r="C29" s="8">
        <f>420.53</f>
        <v>420.53</v>
      </c>
      <c r="D29" s="12"/>
      <c r="E29" s="1"/>
      <c r="F29" s="1"/>
      <c r="G29" s="36"/>
      <c r="H29" s="36"/>
    </row>
    <row r="30" spans="1:8" ht="13.5">
      <c r="A30" s="39" t="s">
        <v>77</v>
      </c>
      <c r="B30" s="7" t="s">
        <v>30</v>
      </c>
      <c r="C30" s="47"/>
      <c r="D30" s="12"/>
      <c r="E30" s="1"/>
      <c r="F30" s="1"/>
      <c r="G30" s="36"/>
      <c r="H30" s="36"/>
    </row>
    <row r="31" spans="1:8" ht="13.5">
      <c r="A31" s="39" t="s">
        <v>78</v>
      </c>
      <c r="B31" s="7" t="s">
        <v>31</v>
      </c>
      <c r="C31" s="47"/>
      <c r="D31" s="12"/>
      <c r="E31" s="1"/>
      <c r="F31" s="1"/>
      <c r="G31" s="36"/>
      <c r="H31" s="36"/>
    </row>
    <row r="32" spans="1:8" ht="13.5">
      <c r="A32" s="39" t="s">
        <v>79</v>
      </c>
      <c r="B32" s="7" t="s">
        <v>32</v>
      </c>
      <c r="C32" s="47"/>
      <c r="D32" s="12"/>
      <c r="E32" s="1"/>
      <c r="F32" s="1"/>
      <c r="G32" s="36"/>
      <c r="H32" s="36"/>
    </row>
    <row r="33" spans="1:8" ht="13.5">
      <c r="A33" s="39" t="s">
        <v>80</v>
      </c>
      <c r="B33" s="7" t="s">
        <v>33</v>
      </c>
      <c r="C33" s="47"/>
      <c r="D33" s="12"/>
      <c r="E33" s="1"/>
      <c r="F33" s="1"/>
      <c r="G33" s="36"/>
      <c r="H33" s="36"/>
    </row>
    <row r="34" spans="1:8" ht="13.5">
      <c r="A34" s="39" t="s">
        <v>82</v>
      </c>
      <c r="B34" s="7" t="s">
        <v>34</v>
      </c>
      <c r="C34" s="47"/>
      <c r="D34" s="12"/>
      <c r="E34" s="1"/>
      <c r="F34" s="1"/>
      <c r="G34" s="36"/>
      <c r="H34" s="36"/>
    </row>
    <row r="35" spans="1:8" ht="13.5">
      <c r="A35" s="39" t="s">
        <v>83</v>
      </c>
      <c r="B35" s="7" t="s">
        <v>35</v>
      </c>
      <c r="C35" s="47"/>
      <c r="D35" s="12"/>
      <c r="E35" s="1"/>
      <c r="F35" s="1"/>
      <c r="G35" s="36"/>
      <c r="H35" s="36"/>
    </row>
    <row r="36" spans="1:8" ht="13.5">
      <c r="A36" s="39" t="s">
        <v>84</v>
      </c>
      <c r="B36" s="7" t="s">
        <v>36</v>
      </c>
      <c r="C36" s="47"/>
      <c r="D36" s="12"/>
      <c r="E36" s="1"/>
      <c r="F36" s="1"/>
      <c r="G36" s="36"/>
      <c r="H36" s="36"/>
    </row>
    <row r="37" spans="1:8" ht="13.5">
      <c r="A37" s="39" t="s">
        <v>85</v>
      </c>
      <c r="B37" s="7" t="s">
        <v>90</v>
      </c>
      <c r="C37" s="47"/>
      <c r="D37" s="12"/>
      <c r="E37" s="1"/>
      <c r="F37" s="1"/>
      <c r="G37" s="36"/>
      <c r="H37" s="36"/>
    </row>
    <row r="38" spans="1:8" ht="13.5">
      <c r="A38" s="39" t="s">
        <v>86</v>
      </c>
      <c r="B38" s="7" t="s">
        <v>92</v>
      </c>
      <c r="C38" s="47"/>
      <c r="D38" s="12"/>
      <c r="E38" s="1"/>
      <c r="F38" s="1"/>
      <c r="G38" s="36"/>
      <c r="H38" s="36"/>
    </row>
    <row r="39" spans="1:8" ht="13.5">
      <c r="A39" s="39" t="s">
        <v>87</v>
      </c>
      <c r="B39" s="7" t="s">
        <v>93</v>
      </c>
      <c r="C39" s="47"/>
      <c r="D39" s="12"/>
      <c r="E39" s="1"/>
      <c r="F39" s="1"/>
      <c r="G39" s="36"/>
      <c r="H39" s="36"/>
    </row>
    <row r="40" spans="1:8" ht="13.5">
      <c r="A40" s="39" t="s">
        <v>88</v>
      </c>
      <c r="B40" s="7" t="s">
        <v>95</v>
      </c>
      <c r="C40" s="47"/>
      <c r="D40" s="12"/>
      <c r="E40" s="1"/>
      <c r="F40" s="1"/>
      <c r="G40" s="36"/>
      <c r="H40" s="36"/>
    </row>
    <row r="41" spans="1:8" ht="13.5">
      <c r="A41" s="39" t="s">
        <v>94</v>
      </c>
      <c r="B41" s="7" t="s">
        <v>98</v>
      </c>
      <c r="C41" s="47"/>
      <c r="D41" s="12"/>
      <c r="E41" s="1"/>
      <c r="F41" s="1"/>
      <c r="G41" s="36"/>
      <c r="H41" s="36"/>
    </row>
    <row r="42" spans="1:8" ht="13.5">
      <c r="A42" s="39" t="s">
        <v>96</v>
      </c>
      <c r="B42" s="7" t="s">
        <v>99</v>
      </c>
      <c r="C42" s="47"/>
      <c r="D42" s="12"/>
      <c r="E42" s="1"/>
      <c r="F42" s="1"/>
      <c r="G42" s="36"/>
      <c r="H42" s="36"/>
    </row>
    <row r="43" spans="1:8" ht="14.25" thickBot="1">
      <c r="A43" s="60" t="s">
        <v>100</v>
      </c>
      <c r="B43" s="7" t="s">
        <v>107</v>
      </c>
      <c r="C43" s="62"/>
      <c r="D43" s="12"/>
      <c r="E43" s="1"/>
      <c r="F43" s="1"/>
      <c r="G43" s="36"/>
      <c r="H43" s="36"/>
    </row>
    <row r="44" spans="1:8" ht="14.25" thickBot="1">
      <c r="A44" s="54"/>
      <c r="B44" s="55" t="s">
        <v>37</v>
      </c>
      <c r="C44" s="56">
        <f>SUM(C6:C43)</f>
        <v>841.0699999999999</v>
      </c>
      <c r="D44" s="45"/>
      <c r="E44" s="1"/>
      <c r="F44" s="1"/>
      <c r="G44" s="36"/>
      <c r="H44" s="36"/>
    </row>
    <row r="45" spans="1:8" ht="13.5">
      <c r="A45" s="36"/>
      <c r="B45" s="36"/>
      <c r="C45" s="38"/>
      <c r="D45" s="1"/>
      <c r="E45" s="1"/>
      <c r="F45" s="1"/>
      <c r="G45" s="36"/>
      <c r="H45" s="36"/>
    </row>
    <row r="46" spans="1:8" ht="13.5">
      <c r="A46" s="36"/>
      <c r="B46" s="36"/>
      <c r="C46" s="38"/>
      <c r="D46" s="1"/>
      <c r="E46" s="1"/>
      <c r="F46" s="1"/>
      <c r="G46" s="36"/>
      <c r="H46" s="36"/>
    </row>
  </sheetData>
  <mergeCells count="1">
    <mergeCell ref="A3:H3"/>
  </mergeCells>
  <printOptions/>
  <pageMargins left="0.75" right="0.75" top="1" bottom="1" header="0.5" footer="0.5"/>
  <pageSetup horizontalDpi="300" verticalDpi="300" orientation="portrait" paperSize="9" scale="8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3:I46"/>
  <sheetViews>
    <sheetView workbookViewId="0" topLeftCell="A1">
      <selection activeCell="G10" sqref="G10"/>
    </sheetView>
  </sheetViews>
  <sheetFormatPr defaultColWidth="9.140625" defaultRowHeight="12.75"/>
  <cols>
    <col min="2" max="2" width="27.7109375" style="0" customWidth="1"/>
    <col min="3" max="3" width="18.8515625" style="0" customWidth="1"/>
    <col min="4" max="4" width="17.140625" style="0" customWidth="1"/>
  </cols>
  <sheetData>
    <row r="3" spans="1:9" ht="13.5">
      <c r="A3" s="91" t="s">
        <v>127</v>
      </c>
      <c r="B3" s="91"/>
      <c r="C3" s="91"/>
      <c r="D3" s="91"/>
      <c r="E3" s="91"/>
      <c r="F3" s="91"/>
      <c r="G3" s="91"/>
      <c r="H3" s="91"/>
      <c r="I3" s="91"/>
    </row>
    <row r="4" spans="1:9" ht="13.5">
      <c r="A4" s="90"/>
      <c r="B4" s="90"/>
      <c r="C4" s="90"/>
      <c r="D4" s="42"/>
      <c r="E4" s="36"/>
      <c r="F4" s="36"/>
      <c r="G4" s="36"/>
      <c r="H4" s="36"/>
      <c r="I4" s="36"/>
    </row>
    <row r="5" spans="1:9" ht="41.25">
      <c r="A5" s="49" t="s">
        <v>0</v>
      </c>
      <c r="B5" s="49" t="s">
        <v>1</v>
      </c>
      <c r="C5" s="51" t="s">
        <v>105</v>
      </c>
      <c r="D5" s="51" t="s">
        <v>106</v>
      </c>
      <c r="E5" s="36"/>
      <c r="F5" s="36"/>
      <c r="G5" s="36"/>
      <c r="H5" s="36"/>
      <c r="I5" s="36"/>
    </row>
    <row r="6" spans="1:9" ht="13.5">
      <c r="A6" s="39" t="s">
        <v>81</v>
      </c>
      <c r="B6" s="7" t="s">
        <v>6</v>
      </c>
      <c r="C6" s="8"/>
      <c r="D6" s="6"/>
      <c r="E6" s="36"/>
      <c r="F6" s="36"/>
      <c r="G6" s="36"/>
      <c r="H6" s="36"/>
      <c r="I6" s="36"/>
    </row>
    <row r="7" spans="1:9" ht="13.5">
      <c r="A7" s="39" t="s">
        <v>54</v>
      </c>
      <c r="B7" s="7" t="s">
        <v>41</v>
      </c>
      <c r="C7" s="47"/>
      <c r="D7" s="6"/>
      <c r="E7" s="36"/>
      <c r="F7" s="36"/>
      <c r="G7" s="36"/>
      <c r="H7" s="36"/>
      <c r="I7" s="36"/>
    </row>
    <row r="8" spans="1:9" ht="13.5">
      <c r="A8" s="39" t="s">
        <v>55</v>
      </c>
      <c r="B8" s="7" t="s">
        <v>8</v>
      </c>
      <c r="C8" s="8"/>
      <c r="D8" s="6"/>
      <c r="E8" s="36"/>
      <c r="F8" s="36"/>
      <c r="G8" s="36"/>
      <c r="H8" s="36"/>
      <c r="I8" s="36"/>
    </row>
    <row r="9" spans="1:9" ht="13.5">
      <c r="A9" s="39" t="s">
        <v>56</v>
      </c>
      <c r="B9" s="7" t="s">
        <v>9</v>
      </c>
      <c r="C9" s="8"/>
      <c r="D9" s="6"/>
      <c r="E9" s="36"/>
      <c r="F9" s="36"/>
      <c r="G9" s="36"/>
      <c r="H9" s="36"/>
      <c r="I9" s="36"/>
    </row>
    <row r="10" spans="1:9" ht="13.5">
      <c r="A10" s="39" t="s">
        <v>57</v>
      </c>
      <c r="B10" s="7" t="s">
        <v>10</v>
      </c>
      <c r="C10" s="8"/>
      <c r="D10" s="6"/>
      <c r="E10" s="36"/>
      <c r="F10" s="36"/>
      <c r="G10" s="36"/>
      <c r="H10" s="36"/>
      <c r="I10" s="36"/>
    </row>
    <row r="11" spans="1:9" ht="13.5">
      <c r="A11" s="39" t="s">
        <v>58</v>
      </c>
      <c r="B11" s="7" t="s">
        <v>11</v>
      </c>
      <c r="C11" s="8"/>
      <c r="D11" s="6"/>
      <c r="E11" s="36"/>
      <c r="F11" s="36"/>
      <c r="G11" s="36"/>
      <c r="H11" s="36"/>
      <c r="I11" s="36"/>
    </row>
    <row r="12" spans="1:9" ht="13.5">
      <c r="A12" s="39" t="s">
        <v>59</v>
      </c>
      <c r="B12" s="7" t="s">
        <v>12</v>
      </c>
      <c r="C12" s="8"/>
      <c r="D12" s="6"/>
      <c r="E12" s="36"/>
      <c r="F12" s="36"/>
      <c r="G12" s="36"/>
      <c r="H12" s="36"/>
      <c r="I12" s="36"/>
    </row>
    <row r="13" spans="1:9" ht="13.5">
      <c r="A13" s="39" t="s">
        <v>60</v>
      </c>
      <c r="B13" s="7" t="s">
        <v>13</v>
      </c>
      <c r="C13" s="8"/>
      <c r="D13" s="6"/>
      <c r="E13" s="36"/>
      <c r="F13" s="36"/>
      <c r="G13" s="36"/>
      <c r="H13" s="36"/>
      <c r="I13" s="36"/>
    </row>
    <row r="14" spans="1:9" ht="13.5">
      <c r="A14" s="39" t="s">
        <v>61</v>
      </c>
      <c r="B14" s="7" t="s">
        <v>14</v>
      </c>
      <c r="C14" s="8"/>
      <c r="D14" s="7"/>
      <c r="E14" s="36"/>
      <c r="F14" s="36"/>
      <c r="G14" s="36"/>
      <c r="H14" s="36"/>
      <c r="I14" s="36"/>
    </row>
    <row r="15" spans="1:9" ht="13.5">
      <c r="A15" s="39" t="s">
        <v>62</v>
      </c>
      <c r="B15" s="7" t="s">
        <v>15</v>
      </c>
      <c r="C15" s="47"/>
      <c r="D15" s="6"/>
      <c r="E15" s="36"/>
      <c r="F15" s="36"/>
      <c r="G15" s="36"/>
      <c r="H15" s="36"/>
      <c r="I15" s="36"/>
    </row>
    <row r="16" spans="1:9" ht="13.5">
      <c r="A16" s="39" t="s">
        <v>63</v>
      </c>
      <c r="B16" s="7" t="s">
        <v>16</v>
      </c>
      <c r="C16" s="8">
        <v>8283.11</v>
      </c>
      <c r="D16" s="6"/>
      <c r="E16" s="36"/>
      <c r="F16" s="36"/>
      <c r="G16" s="36"/>
      <c r="H16" s="36"/>
      <c r="I16" s="36"/>
    </row>
    <row r="17" spans="1:9" ht="13.5">
      <c r="A17" s="39" t="s">
        <v>64</v>
      </c>
      <c r="B17" s="7" t="s">
        <v>42</v>
      </c>
      <c r="C17" s="8"/>
      <c r="D17" s="6"/>
      <c r="E17" s="36"/>
      <c r="F17" s="36"/>
      <c r="G17" s="36"/>
      <c r="H17" s="36"/>
      <c r="I17" s="36"/>
    </row>
    <row r="18" spans="1:9" ht="13.5">
      <c r="A18" s="39" t="s">
        <v>65</v>
      </c>
      <c r="B18" s="7" t="s">
        <v>18</v>
      </c>
      <c r="C18" s="8"/>
      <c r="D18" s="6"/>
      <c r="E18" s="36"/>
      <c r="F18" s="36"/>
      <c r="G18" s="36"/>
      <c r="H18" s="36"/>
      <c r="I18" s="36"/>
    </row>
    <row r="19" spans="1:9" ht="13.5">
      <c r="A19" s="39" t="s">
        <v>66</v>
      </c>
      <c r="B19" s="7" t="s">
        <v>19</v>
      </c>
      <c r="C19" s="8"/>
      <c r="D19" s="6"/>
      <c r="E19" s="36"/>
      <c r="F19" s="36"/>
      <c r="G19" s="36"/>
      <c r="H19" s="36"/>
      <c r="I19" s="36"/>
    </row>
    <row r="20" spans="1:9" ht="13.5">
      <c r="A20" s="39" t="s">
        <v>67</v>
      </c>
      <c r="B20" s="7" t="s">
        <v>20</v>
      </c>
      <c r="C20" s="8"/>
      <c r="D20" s="7">
        <v>19684.85</v>
      </c>
      <c r="E20" s="36"/>
      <c r="F20" s="36"/>
      <c r="G20" s="36"/>
      <c r="H20" s="36"/>
      <c r="I20" s="36"/>
    </row>
    <row r="21" spans="1:9" ht="13.5">
      <c r="A21" s="39" t="s">
        <v>68</v>
      </c>
      <c r="B21" s="7" t="s">
        <v>21</v>
      </c>
      <c r="C21" s="8"/>
      <c r="D21" s="6"/>
      <c r="E21" s="36"/>
      <c r="F21" s="36"/>
      <c r="G21" s="36"/>
      <c r="H21" s="36"/>
      <c r="I21" s="36"/>
    </row>
    <row r="22" spans="1:9" ht="13.5">
      <c r="A22" s="39" t="s">
        <v>69</v>
      </c>
      <c r="B22" s="7" t="s">
        <v>22</v>
      </c>
      <c r="C22" s="8"/>
      <c r="D22" s="6"/>
      <c r="E22" s="36"/>
      <c r="F22" s="36"/>
      <c r="G22" s="36"/>
      <c r="H22" s="36"/>
      <c r="I22" s="36"/>
    </row>
    <row r="23" spans="1:9" ht="13.5">
      <c r="A23" s="39" t="s">
        <v>70</v>
      </c>
      <c r="B23" s="7" t="s">
        <v>23</v>
      </c>
      <c r="C23" s="8"/>
      <c r="D23" s="6"/>
      <c r="E23" s="36"/>
      <c r="F23" s="36"/>
      <c r="G23" s="36"/>
      <c r="H23" s="36"/>
      <c r="I23" s="36"/>
    </row>
    <row r="24" spans="1:9" ht="13.5">
      <c r="A24" s="39" t="s">
        <v>71</v>
      </c>
      <c r="B24" s="7" t="s">
        <v>24</v>
      </c>
      <c r="C24" s="8"/>
      <c r="D24" s="6"/>
      <c r="E24" s="36"/>
      <c r="F24" s="36"/>
      <c r="G24" s="36"/>
      <c r="H24" s="36"/>
      <c r="I24" s="36"/>
    </row>
    <row r="25" spans="1:9" ht="13.5">
      <c r="A25" s="39" t="s">
        <v>72</v>
      </c>
      <c r="B25" s="7" t="s">
        <v>25</v>
      </c>
      <c r="C25" s="8"/>
      <c r="D25" s="6"/>
      <c r="E25" s="36"/>
      <c r="F25" s="36"/>
      <c r="G25" s="36"/>
      <c r="H25" s="36"/>
      <c r="I25" s="36"/>
    </row>
    <row r="26" spans="1:9" ht="13.5">
      <c r="A26" s="39" t="s">
        <v>73</v>
      </c>
      <c r="B26" s="7" t="s">
        <v>26</v>
      </c>
      <c r="C26" s="8"/>
      <c r="D26" s="7">
        <f>8171.79</f>
        <v>8171.79</v>
      </c>
      <c r="E26" s="36"/>
      <c r="F26" s="36"/>
      <c r="G26" s="36"/>
      <c r="H26" s="36"/>
      <c r="I26" s="36"/>
    </row>
    <row r="27" spans="1:9" ht="13.5">
      <c r="A27" s="39" t="s">
        <v>74</v>
      </c>
      <c r="B27" s="7" t="s">
        <v>27</v>
      </c>
      <c r="C27" s="8"/>
      <c r="D27" s="6"/>
      <c r="E27" s="36"/>
      <c r="F27" s="36"/>
      <c r="G27" s="36"/>
      <c r="H27" s="36"/>
      <c r="I27" s="36"/>
    </row>
    <row r="28" spans="1:9" ht="13.5">
      <c r="A28" s="39" t="s">
        <v>75</v>
      </c>
      <c r="B28" s="7" t="s">
        <v>28</v>
      </c>
      <c r="C28" s="8"/>
      <c r="D28" s="6"/>
      <c r="E28" s="36"/>
      <c r="F28" s="36"/>
      <c r="G28" s="36"/>
      <c r="H28" s="36"/>
      <c r="I28" s="36"/>
    </row>
    <row r="29" spans="1:9" ht="13.5">
      <c r="A29" s="39" t="s">
        <v>76</v>
      </c>
      <c r="B29" s="7" t="s">
        <v>29</v>
      </c>
      <c r="C29" s="8">
        <v>348.04</v>
      </c>
      <c r="D29" s="7">
        <v>111.87</v>
      </c>
      <c r="E29" s="36"/>
      <c r="F29" s="36"/>
      <c r="G29" s="36"/>
      <c r="H29" s="36"/>
      <c r="I29" s="36"/>
    </row>
    <row r="30" spans="1:9" ht="13.5">
      <c r="A30" s="39" t="s">
        <v>77</v>
      </c>
      <c r="B30" s="7" t="s">
        <v>30</v>
      </c>
      <c r="C30" s="8"/>
      <c r="D30" s="6"/>
      <c r="E30" s="36"/>
      <c r="F30" s="36"/>
      <c r="G30" s="36"/>
      <c r="H30" s="36"/>
      <c r="I30" s="36"/>
    </row>
    <row r="31" spans="1:9" ht="13.5">
      <c r="A31" s="39" t="s">
        <v>78</v>
      </c>
      <c r="B31" s="7" t="s">
        <v>31</v>
      </c>
      <c r="C31" s="8"/>
      <c r="D31" s="6"/>
      <c r="E31" s="36"/>
      <c r="F31" s="36"/>
      <c r="G31" s="36"/>
      <c r="H31" s="36"/>
      <c r="I31" s="36"/>
    </row>
    <row r="32" spans="1:9" ht="13.5">
      <c r="A32" s="39" t="s">
        <v>79</v>
      </c>
      <c r="B32" s="7" t="s">
        <v>32</v>
      </c>
      <c r="C32" s="8"/>
      <c r="D32" s="6"/>
      <c r="E32" s="36"/>
      <c r="F32" s="36"/>
      <c r="G32" s="36"/>
      <c r="H32" s="36"/>
      <c r="I32" s="36"/>
    </row>
    <row r="33" spans="1:9" ht="13.5">
      <c r="A33" s="39" t="s">
        <v>80</v>
      </c>
      <c r="B33" s="7" t="s">
        <v>33</v>
      </c>
      <c r="C33" s="8"/>
      <c r="D33" s="6"/>
      <c r="E33" s="36"/>
      <c r="F33" s="36"/>
      <c r="G33" s="36"/>
      <c r="H33" s="36"/>
      <c r="I33" s="36"/>
    </row>
    <row r="34" spans="1:9" ht="13.5">
      <c r="A34" s="39" t="s">
        <v>82</v>
      </c>
      <c r="B34" s="7" t="s">
        <v>34</v>
      </c>
      <c r="C34" s="8"/>
      <c r="D34" s="6"/>
      <c r="E34" s="36"/>
      <c r="F34" s="36"/>
      <c r="G34" s="36"/>
      <c r="H34" s="36"/>
      <c r="I34" s="36"/>
    </row>
    <row r="35" spans="1:9" ht="13.5">
      <c r="A35" s="39" t="s">
        <v>83</v>
      </c>
      <c r="B35" s="7" t="s">
        <v>35</v>
      </c>
      <c r="C35" s="8"/>
      <c r="D35" s="6"/>
      <c r="E35" s="36"/>
      <c r="F35" s="36"/>
      <c r="G35" s="36"/>
      <c r="H35" s="36"/>
      <c r="I35" s="36"/>
    </row>
    <row r="36" spans="1:9" ht="13.5">
      <c r="A36" s="39" t="s">
        <v>84</v>
      </c>
      <c r="B36" s="7" t="s">
        <v>36</v>
      </c>
      <c r="C36" s="8"/>
      <c r="D36" s="6"/>
      <c r="E36" s="36"/>
      <c r="F36" s="36"/>
      <c r="G36" s="36"/>
      <c r="H36" s="36"/>
      <c r="I36" s="36"/>
    </row>
    <row r="37" spans="1:9" ht="13.5">
      <c r="A37" s="39" t="s">
        <v>85</v>
      </c>
      <c r="B37" s="7" t="s">
        <v>89</v>
      </c>
      <c r="C37" s="8"/>
      <c r="D37" s="6"/>
      <c r="E37" s="36"/>
      <c r="F37" s="36"/>
      <c r="G37" s="36"/>
      <c r="H37" s="36"/>
      <c r="I37" s="36"/>
    </row>
    <row r="38" spans="1:9" ht="13.5">
      <c r="A38" s="39" t="s">
        <v>86</v>
      </c>
      <c r="B38" s="7" t="s">
        <v>92</v>
      </c>
      <c r="C38" s="8"/>
      <c r="D38" s="7">
        <v>2646.62</v>
      </c>
      <c r="E38" s="36"/>
      <c r="F38" s="36"/>
      <c r="G38" s="36"/>
      <c r="H38" s="36"/>
      <c r="I38" s="36"/>
    </row>
    <row r="39" spans="1:9" ht="13.5">
      <c r="A39" s="39" t="s">
        <v>87</v>
      </c>
      <c r="B39" s="7" t="s">
        <v>93</v>
      </c>
      <c r="C39" s="47"/>
      <c r="D39" s="6"/>
      <c r="E39" s="36"/>
      <c r="F39" s="36"/>
      <c r="G39" s="36"/>
      <c r="H39" s="36"/>
      <c r="I39" s="36"/>
    </row>
    <row r="40" spans="1:9" ht="13.5">
      <c r="A40" s="39" t="s">
        <v>88</v>
      </c>
      <c r="B40" s="7" t="s">
        <v>95</v>
      </c>
      <c r="C40" s="47"/>
      <c r="D40" s="6"/>
      <c r="E40" s="36"/>
      <c r="F40" s="36"/>
      <c r="G40" s="36"/>
      <c r="H40" s="36"/>
      <c r="I40" s="36"/>
    </row>
    <row r="41" spans="1:9" ht="13.5">
      <c r="A41" s="39" t="s">
        <v>94</v>
      </c>
      <c r="B41" s="7" t="s">
        <v>98</v>
      </c>
      <c r="C41" s="47"/>
      <c r="D41" s="6"/>
      <c r="E41" s="36"/>
      <c r="F41" s="36"/>
      <c r="G41" s="36"/>
      <c r="H41" s="36"/>
      <c r="I41" s="36"/>
    </row>
    <row r="42" spans="1:9" ht="13.5">
      <c r="A42" s="39" t="s">
        <v>96</v>
      </c>
      <c r="B42" s="7" t="s">
        <v>99</v>
      </c>
      <c r="C42" s="47"/>
      <c r="D42" s="6"/>
      <c r="E42" s="36"/>
      <c r="F42" s="36"/>
      <c r="G42" s="36"/>
      <c r="H42" s="36"/>
      <c r="I42" s="36"/>
    </row>
    <row r="43" spans="1:9" ht="14.25" thickBot="1">
      <c r="A43" s="60" t="s">
        <v>100</v>
      </c>
      <c r="B43" s="7" t="s">
        <v>107</v>
      </c>
      <c r="C43" s="62"/>
      <c r="D43" s="59"/>
      <c r="E43" s="36"/>
      <c r="F43" s="36"/>
      <c r="G43" s="36"/>
      <c r="H43" s="36"/>
      <c r="I43" s="36"/>
    </row>
    <row r="44" spans="1:9" ht="14.25" thickBot="1">
      <c r="A44" s="61"/>
      <c r="B44" s="63" t="s">
        <v>37</v>
      </c>
      <c r="C44" s="64">
        <f>SUM(C6:C43)</f>
        <v>8631.150000000001</v>
      </c>
      <c r="D44" s="56">
        <f>SUM(D6:D43)</f>
        <v>30615.129999999997</v>
      </c>
      <c r="E44" s="36"/>
      <c r="F44" s="36"/>
      <c r="G44" s="36"/>
      <c r="H44" s="36"/>
      <c r="I44" s="36"/>
    </row>
    <row r="45" spans="1:9" ht="13.5">
      <c r="A45" s="36"/>
      <c r="B45" s="36"/>
      <c r="C45" s="36"/>
      <c r="D45" s="36"/>
      <c r="E45" s="36"/>
      <c r="F45" s="36"/>
      <c r="G45" s="36"/>
      <c r="H45" s="36"/>
      <c r="I45" s="36"/>
    </row>
    <row r="46" spans="1:9" ht="13.5">
      <c r="A46" s="36"/>
      <c r="B46" s="36"/>
      <c r="C46" s="36"/>
      <c r="D46" s="36"/>
      <c r="E46" s="36"/>
      <c r="F46" s="36"/>
      <c r="G46" s="36"/>
      <c r="H46" s="36"/>
      <c r="I46" s="36"/>
    </row>
  </sheetData>
  <mergeCells count="2">
    <mergeCell ref="A3:I3"/>
    <mergeCell ref="A4:C4"/>
  </mergeCells>
  <printOptions/>
  <pageMargins left="0.75" right="0.75" top="1" bottom="1" header="0.5" footer="0.5"/>
  <pageSetup horizontalDpi="300" verticalDpi="3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H56"/>
  <sheetViews>
    <sheetView workbookViewId="0" topLeftCell="A22">
      <selection activeCell="D7" sqref="D7:D44"/>
    </sheetView>
  </sheetViews>
  <sheetFormatPr defaultColWidth="9.140625" defaultRowHeight="12.75"/>
  <cols>
    <col min="1" max="1" width="6.8515625" style="0" customWidth="1"/>
    <col min="2" max="2" width="28.7109375" style="0" customWidth="1"/>
    <col min="3" max="3" width="16.7109375" style="0" customWidth="1"/>
    <col min="4" max="4" width="15.57421875" style="0" customWidth="1"/>
    <col min="5" max="5" width="16.28125" style="0" customWidth="1"/>
    <col min="6" max="6" width="9.8515625" style="0" customWidth="1"/>
    <col min="7" max="7" width="14.57421875" style="0" customWidth="1"/>
  </cols>
  <sheetData>
    <row r="3" spans="1:7" ht="13.5">
      <c r="A3" s="87" t="s">
        <v>117</v>
      </c>
      <c r="B3" s="87"/>
      <c r="C3" s="87"/>
      <c r="D3" s="87"/>
      <c r="E3" s="87"/>
      <c r="F3" s="87"/>
      <c r="G3" s="87"/>
    </row>
    <row r="4" spans="1:7" ht="13.5">
      <c r="A4" s="34"/>
      <c r="B4" s="35"/>
      <c r="C4" s="35"/>
      <c r="D4" s="34"/>
      <c r="E4" s="34"/>
      <c r="F4" s="34"/>
      <c r="G4" s="36"/>
    </row>
    <row r="5" spans="1:7" ht="14.25" thickBot="1">
      <c r="A5" s="36"/>
      <c r="B5" s="36"/>
      <c r="C5" s="37"/>
      <c r="D5" s="36"/>
      <c r="E5" s="38"/>
      <c r="F5" s="36"/>
      <c r="G5" s="36"/>
    </row>
    <row r="6" spans="1:7" ht="27">
      <c r="A6" s="67" t="s">
        <v>0</v>
      </c>
      <c r="B6" s="68" t="s">
        <v>1</v>
      </c>
      <c r="C6" s="69" t="s">
        <v>38</v>
      </c>
      <c r="D6" s="69" t="s">
        <v>39</v>
      </c>
      <c r="E6" s="70" t="s">
        <v>40</v>
      </c>
      <c r="F6" s="36"/>
      <c r="G6" s="36"/>
    </row>
    <row r="7" spans="1:7" ht="13.5">
      <c r="A7" s="39" t="s">
        <v>81</v>
      </c>
      <c r="B7" s="7" t="s">
        <v>6</v>
      </c>
      <c r="C7" s="6">
        <v>1790.76</v>
      </c>
      <c r="D7" s="6">
        <v>1431.33</v>
      </c>
      <c r="E7" s="8">
        <f>C7+D7</f>
        <v>3222.09</v>
      </c>
      <c r="F7" s="36"/>
      <c r="G7" s="36"/>
    </row>
    <row r="8" spans="1:7" ht="13.5">
      <c r="A8" s="39" t="s">
        <v>54</v>
      </c>
      <c r="B8" s="7" t="s">
        <v>41</v>
      </c>
      <c r="C8" s="6">
        <f>1190.57+923.89</f>
        <v>2114.46</v>
      </c>
      <c r="D8" s="6">
        <f>952.48+739</f>
        <v>1691.48</v>
      </c>
      <c r="E8" s="8">
        <f aca="true" t="shared" si="0" ref="E8:E45">C8+D8</f>
        <v>3805.94</v>
      </c>
      <c r="F8" s="36"/>
      <c r="G8" s="36"/>
    </row>
    <row r="9" spans="1:7" ht="13.5">
      <c r="A9" s="39" t="s">
        <v>55</v>
      </c>
      <c r="B9" s="7" t="s">
        <v>8</v>
      </c>
      <c r="C9" s="71">
        <f>148.06+381.28+1607.64+433.87</f>
        <v>2570.85</v>
      </c>
      <c r="D9" s="6">
        <f>118.44+305+1286.07+347.09</f>
        <v>2056.6</v>
      </c>
      <c r="E9" s="8">
        <f t="shared" si="0"/>
        <v>4627.45</v>
      </c>
      <c r="F9" s="36"/>
      <c r="G9" s="36"/>
    </row>
    <row r="10" spans="1:7" ht="13.5">
      <c r="A10" s="39" t="s">
        <v>56</v>
      </c>
      <c r="B10" s="7" t="s">
        <v>9</v>
      </c>
      <c r="C10" s="6">
        <f>300.84+307.12</f>
        <v>607.96</v>
      </c>
      <c r="D10" s="6">
        <f>245.69+240.67</f>
        <v>486.36</v>
      </c>
      <c r="E10" s="8">
        <f t="shared" si="0"/>
        <v>1094.3200000000002</v>
      </c>
      <c r="F10" s="36"/>
      <c r="G10" s="36"/>
    </row>
    <row r="11" spans="1:7" ht="13.5">
      <c r="A11" s="39" t="s">
        <v>57</v>
      </c>
      <c r="B11" s="7" t="s">
        <v>10</v>
      </c>
      <c r="C11" s="6">
        <f>658.85+73.56</f>
        <v>732.4100000000001</v>
      </c>
      <c r="D11" s="6">
        <f>527.1+58.85</f>
        <v>585.95</v>
      </c>
      <c r="E11" s="8">
        <f t="shared" si="0"/>
        <v>1318.3600000000001</v>
      </c>
      <c r="F11" s="36"/>
      <c r="G11" s="36"/>
    </row>
    <row r="12" spans="1:7" ht="13.5">
      <c r="A12" s="39" t="s">
        <v>58</v>
      </c>
      <c r="B12" s="7" t="s">
        <v>11</v>
      </c>
      <c r="C12" s="6">
        <v>509.97</v>
      </c>
      <c r="D12" s="6">
        <v>408.01</v>
      </c>
      <c r="E12" s="8">
        <f t="shared" si="0"/>
        <v>917.98</v>
      </c>
      <c r="F12" s="36"/>
      <c r="G12" s="36"/>
    </row>
    <row r="13" spans="1:7" ht="13.5">
      <c r="A13" s="39" t="s">
        <v>59</v>
      </c>
      <c r="B13" s="7" t="s">
        <v>12</v>
      </c>
      <c r="C13" s="6">
        <f>954.97+352.93</f>
        <v>1307.9</v>
      </c>
      <c r="D13" s="6">
        <f>764.01+282.36</f>
        <v>1046.37</v>
      </c>
      <c r="E13" s="8">
        <f t="shared" si="0"/>
        <v>2354.27</v>
      </c>
      <c r="F13" s="36"/>
      <c r="G13" s="36"/>
    </row>
    <row r="14" spans="1:7" ht="13.5">
      <c r="A14" s="39" t="s">
        <v>60</v>
      </c>
      <c r="B14" s="7" t="s">
        <v>13</v>
      </c>
      <c r="C14" s="6">
        <f>54.77+1112.02+819.54+861.66</f>
        <v>2847.99</v>
      </c>
      <c r="D14" s="6">
        <f>43.81+889.61+655.63+689.32</f>
        <v>2278.3700000000003</v>
      </c>
      <c r="E14" s="8">
        <f t="shared" si="0"/>
        <v>5126.360000000001</v>
      </c>
      <c r="F14" s="36"/>
      <c r="G14" s="36"/>
    </row>
    <row r="15" spans="1:7" ht="13.5">
      <c r="A15" s="39" t="s">
        <v>61</v>
      </c>
      <c r="B15" s="7" t="s">
        <v>14</v>
      </c>
      <c r="C15" s="6">
        <f>823+798.2+1260.62+501.46</f>
        <v>3383.2799999999997</v>
      </c>
      <c r="D15" s="6">
        <f>658.44+638.49+1008.55+401.25</f>
        <v>2706.73</v>
      </c>
      <c r="E15" s="8">
        <f t="shared" si="0"/>
        <v>6090.01</v>
      </c>
      <c r="F15" s="36"/>
      <c r="G15" s="36"/>
    </row>
    <row r="16" spans="1:7" ht="13.5">
      <c r="A16" s="39" t="s">
        <v>62</v>
      </c>
      <c r="B16" s="7" t="s">
        <v>15</v>
      </c>
      <c r="C16" s="6">
        <v>276.58</v>
      </c>
      <c r="D16" s="6">
        <v>221.26</v>
      </c>
      <c r="E16" s="8">
        <f t="shared" si="0"/>
        <v>497.84</v>
      </c>
      <c r="F16" s="36"/>
      <c r="G16" s="36"/>
    </row>
    <row r="17" spans="1:7" ht="13.5">
      <c r="A17" s="39" t="s">
        <v>63</v>
      </c>
      <c r="B17" s="7" t="s">
        <v>16</v>
      </c>
      <c r="C17" s="6">
        <f>298.85+1143.28+167.19</f>
        <v>1609.3200000000002</v>
      </c>
      <c r="D17" s="6">
        <f>239.05+914.63+133.74</f>
        <v>1287.42</v>
      </c>
      <c r="E17" s="8">
        <f t="shared" si="0"/>
        <v>2896.7400000000002</v>
      </c>
      <c r="F17" s="36"/>
      <c r="G17" s="36"/>
    </row>
    <row r="18" spans="1:7" ht="13.5">
      <c r="A18" s="39" t="s">
        <v>64</v>
      </c>
      <c r="B18" s="7" t="s">
        <v>42</v>
      </c>
      <c r="C18" s="6">
        <f>2327.83+1587.9+2209.92</f>
        <v>6125.65</v>
      </c>
      <c r="D18" s="6">
        <f>1862.25+1270.37+1768.01</f>
        <v>4900.63</v>
      </c>
      <c r="E18" s="8">
        <f t="shared" si="0"/>
        <v>11026.279999999999</v>
      </c>
      <c r="F18" s="36"/>
      <c r="G18" s="36"/>
    </row>
    <row r="19" spans="1:7" ht="13.5">
      <c r="A19" s="39" t="s">
        <v>65</v>
      </c>
      <c r="B19" s="7" t="s">
        <v>18</v>
      </c>
      <c r="C19" s="6">
        <v>2328.85</v>
      </c>
      <c r="D19" s="6">
        <v>1862.89</v>
      </c>
      <c r="E19" s="8">
        <f t="shared" si="0"/>
        <v>4191.74</v>
      </c>
      <c r="F19" s="36"/>
      <c r="G19" s="36"/>
    </row>
    <row r="20" spans="1:7" ht="13.5">
      <c r="A20" s="39" t="s">
        <v>66</v>
      </c>
      <c r="B20" s="7" t="s">
        <v>19</v>
      </c>
      <c r="C20" s="6">
        <v>616</v>
      </c>
      <c r="D20" s="6">
        <v>492.81</v>
      </c>
      <c r="E20" s="8">
        <f t="shared" si="0"/>
        <v>1108.81</v>
      </c>
      <c r="F20" s="36"/>
      <c r="G20" s="36"/>
    </row>
    <row r="21" spans="1:7" ht="13.5">
      <c r="A21" s="39" t="s">
        <v>67</v>
      </c>
      <c r="B21" s="7" t="s">
        <v>20</v>
      </c>
      <c r="C21" s="6">
        <f>737.73+933.99</f>
        <v>1671.72</v>
      </c>
      <c r="D21" s="6">
        <f>590.2+747.22</f>
        <v>1337.42</v>
      </c>
      <c r="E21" s="8">
        <f t="shared" si="0"/>
        <v>3009.1400000000003</v>
      </c>
      <c r="F21" s="36"/>
      <c r="G21" s="36"/>
    </row>
    <row r="22" spans="1:7" ht="13.5">
      <c r="A22" s="39" t="s">
        <v>68</v>
      </c>
      <c r="B22" s="7" t="s">
        <v>21</v>
      </c>
      <c r="C22" s="6">
        <f>292+2572.08</f>
        <v>2864.08</v>
      </c>
      <c r="D22" s="6">
        <f>233.55+2057.74</f>
        <v>2291.29</v>
      </c>
      <c r="E22" s="8">
        <f t="shared" si="0"/>
        <v>5155.37</v>
      </c>
      <c r="F22" s="36"/>
      <c r="G22" s="36"/>
    </row>
    <row r="23" spans="1:7" ht="13.5">
      <c r="A23" s="39" t="s">
        <v>69</v>
      </c>
      <c r="B23" s="7" t="s">
        <v>22</v>
      </c>
      <c r="C23" s="6">
        <v>155.39</v>
      </c>
      <c r="D23" s="6">
        <v>124.3</v>
      </c>
      <c r="E23" s="8">
        <f t="shared" si="0"/>
        <v>279.69</v>
      </c>
      <c r="F23" s="36"/>
      <c r="G23" s="36"/>
    </row>
    <row r="24" spans="1:7" ht="13.5">
      <c r="A24" s="39" t="s">
        <v>70</v>
      </c>
      <c r="B24" s="7" t="s">
        <v>23</v>
      </c>
      <c r="C24" s="6">
        <v>586.3</v>
      </c>
      <c r="D24" s="6">
        <v>469.02</v>
      </c>
      <c r="E24" s="8">
        <f t="shared" si="0"/>
        <v>1055.32</v>
      </c>
      <c r="F24" s="36"/>
      <c r="G24" s="36"/>
    </row>
    <row r="25" spans="1:7" ht="13.5">
      <c r="A25" s="39" t="s">
        <v>71</v>
      </c>
      <c r="B25" s="7" t="s">
        <v>24</v>
      </c>
      <c r="C25" s="6">
        <f>162.7+222.11+62.27+193.26</f>
        <v>640.3399999999999</v>
      </c>
      <c r="D25" s="6">
        <f>130.15+177.68+49.83+154.62</f>
        <v>512.28</v>
      </c>
      <c r="E25" s="8">
        <f t="shared" si="0"/>
        <v>1152.62</v>
      </c>
      <c r="F25" s="36"/>
      <c r="G25" s="36"/>
    </row>
    <row r="26" spans="1:7" ht="13.5">
      <c r="A26" s="39" t="s">
        <v>72</v>
      </c>
      <c r="B26" s="7" t="s">
        <v>25</v>
      </c>
      <c r="C26" s="6">
        <v>1078.93</v>
      </c>
      <c r="D26" s="6">
        <v>863.07</v>
      </c>
      <c r="E26" s="8">
        <f t="shared" si="0"/>
        <v>1942</v>
      </c>
      <c r="F26" s="36"/>
      <c r="G26" s="36"/>
    </row>
    <row r="27" spans="1:7" ht="13.5">
      <c r="A27" s="39" t="s">
        <v>73</v>
      </c>
      <c r="B27" s="7" t="s">
        <v>26</v>
      </c>
      <c r="C27" s="6">
        <f>116.34+87.37+609.15+698.35+2153.53</f>
        <v>3664.7400000000002</v>
      </c>
      <c r="D27" s="6">
        <f>93.05+69.87+487.26+558.83+1723.16</f>
        <v>2932.17</v>
      </c>
      <c r="E27" s="8">
        <f t="shared" si="0"/>
        <v>6596.91</v>
      </c>
      <c r="F27" s="36"/>
      <c r="G27" s="36"/>
    </row>
    <row r="28" spans="1:7" ht="13.5">
      <c r="A28" s="39" t="s">
        <v>74</v>
      </c>
      <c r="B28" s="7" t="s">
        <v>27</v>
      </c>
      <c r="C28" s="6">
        <v>327.23</v>
      </c>
      <c r="D28" s="6">
        <v>261.8</v>
      </c>
      <c r="E28" s="8">
        <f t="shared" si="0"/>
        <v>589.03</v>
      </c>
      <c r="F28" s="36"/>
      <c r="G28" s="36"/>
    </row>
    <row r="29" spans="1:7" ht="13.5">
      <c r="A29" s="39" t="s">
        <v>75</v>
      </c>
      <c r="B29" s="7" t="s">
        <v>28</v>
      </c>
      <c r="C29" s="6">
        <f>646.02+95.98</f>
        <v>742</v>
      </c>
      <c r="D29" s="6">
        <f>516.76+76.79</f>
        <v>593.55</v>
      </c>
      <c r="E29" s="8">
        <f t="shared" si="0"/>
        <v>1335.55</v>
      </c>
      <c r="F29" s="36"/>
      <c r="G29" s="36"/>
    </row>
    <row r="30" spans="1:8" ht="13.5">
      <c r="A30" s="39" t="s">
        <v>76</v>
      </c>
      <c r="B30" s="7" t="s">
        <v>29</v>
      </c>
      <c r="C30" s="6">
        <f>494.04+1353.98+1069.82+2118.43</f>
        <v>5036.27</v>
      </c>
      <c r="D30" s="6">
        <f>395.32+1082.45+856.16+1695.18</f>
        <v>4029.1099999999997</v>
      </c>
      <c r="E30" s="8">
        <f t="shared" si="0"/>
        <v>9065.380000000001</v>
      </c>
      <c r="F30" s="36"/>
      <c r="G30" s="36"/>
      <c r="H30" s="3"/>
    </row>
    <row r="31" spans="1:7" ht="13.5">
      <c r="A31" s="39" t="s">
        <v>77</v>
      </c>
      <c r="B31" s="7" t="s">
        <v>30</v>
      </c>
      <c r="C31" s="6"/>
      <c r="D31" s="6"/>
      <c r="E31" s="8">
        <f t="shared" si="0"/>
        <v>0</v>
      </c>
      <c r="F31" s="36"/>
      <c r="G31" s="36"/>
    </row>
    <row r="32" spans="1:7" ht="13.5">
      <c r="A32" s="39" t="s">
        <v>78</v>
      </c>
      <c r="B32" s="7" t="s">
        <v>31</v>
      </c>
      <c r="C32" s="6">
        <v>15.08</v>
      </c>
      <c r="D32" s="6">
        <v>12.06</v>
      </c>
      <c r="E32" s="8">
        <f t="shared" si="0"/>
        <v>27.14</v>
      </c>
      <c r="F32" s="36"/>
      <c r="G32" s="36"/>
    </row>
    <row r="33" spans="1:7" ht="13.5">
      <c r="A33" s="39" t="s">
        <v>79</v>
      </c>
      <c r="B33" s="7" t="s">
        <v>32</v>
      </c>
      <c r="C33" s="6">
        <f>1999.21+37.74</f>
        <v>2036.95</v>
      </c>
      <c r="D33" s="6">
        <f>1599.19+30.18</f>
        <v>1629.3700000000001</v>
      </c>
      <c r="E33" s="8">
        <f t="shared" si="0"/>
        <v>3666.32</v>
      </c>
      <c r="F33" s="36"/>
      <c r="G33" s="36"/>
    </row>
    <row r="34" spans="1:7" ht="13.5">
      <c r="A34" s="39" t="s">
        <v>80</v>
      </c>
      <c r="B34" s="7" t="s">
        <v>33</v>
      </c>
      <c r="C34" s="6">
        <f>858.97+534.21</f>
        <v>1393.18</v>
      </c>
      <c r="D34" s="6">
        <f>687.22+427.38</f>
        <v>1114.6</v>
      </c>
      <c r="E34" s="8">
        <f t="shared" si="0"/>
        <v>2507.7799999999997</v>
      </c>
      <c r="F34" s="36"/>
      <c r="G34" s="36"/>
    </row>
    <row r="35" spans="1:7" ht="13.5">
      <c r="A35" s="39" t="s">
        <v>82</v>
      </c>
      <c r="B35" s="7" t="s">
        <v>34</v>
      </c>
      <c r="C35" s="6">
        <f>1383.21+1322.94+968.92</f>
        <v>3675.07</v>
      </c>
      <c r="D35" s="6">
        <f>1106.68+1058.35+775.16</f>
        <v>2940.1899999999996</v>
      </c>
      <c r="E35" s="8">
        <f t="shared" si="0"/>
        <v>6615.26</v>
      </c>
      <c r="F35" s="36"/>
      <c r="G35" s="36"/>
    </row>
    <row r="36" spans="1:7" ht="13.5">
      <c r="A36" s="39" t="s">
        <v>83</v>
      </c>
      <c r="B36" s="7" t="s">
        <v>35</v>
      </c>
      <c r="C36" s="6">
        <f>4826.9+131.25</f>
        <v>4958.15</v>
      </c>
      <c r="D36" s="6">
        <f>3861.59+105</f>
        <v>3966.59</v>
      </c>
      <c r="E36" s="8">
        <f t="shared" si="0"/>
        <v>8924.74</v>
      </c>
      <c r="F36" s="36"/>
      <c r="G36" s="36"/>
    </row>
    <row r="37" spans="1:7" ht="13.5">
      <c r="A37" s="39" t="s">
        <v>84</v>
      </c>
      <c r="B37" s="7" t="s">
        <v>36</v>
      </c>
      <c r="C37" s="6">
        <f>60.44+464.49</f>
        <v>524.9300000000001</v>
      </c>
      <c r="D37" s="6">
        <f>48.36+371.62</f>
        <v>419.98</v>
      </c>
      <c r="E37" s="8">
        <f t="shared" si="0"/>
        <v>944.9100000000001</v>
      </c>
      <c r="F37" s="36"/>
      <c r="G37" s="36"/>
    </row>
    <row r="38" spans="1:7" ht="13.5">
      <c r="A38" s="39" t="s">
        <v>85</v>
      </c>
      <c r="B38" s="7" t="s">
        <v>89</v>
      </c>
      <c r="C38" s="6"/>
      <c r="D38" s="6"/>
      <c r="E38" s="8">
        <f t="shared" si="0"/>
        <v>0</v>
      </c>
      <c r="F38" s="36"/>
      <c r="G38" s="36"/>
    </row>
    <row r="39" spans="1:7" ht="13.5">
      <c r="A39" s="39" t="s">
        <v>86</v>
      </c>
      <c r="B39" s="7" t="s">
        <v>92</v>
      </c>
      <c r="C39" s="6">
        <f>1744.26+138.99+36.59</f>
        <v>1919.84</v>
      </c>
      <c r="D39" s="6">
        <f>1395.43+111.17+29.26</f>
        <v>1535.8600000000001</v>
      </c>
      <c r="E39" s="8">
        <f t="shared" si="0"/>
        <v>3455.7</v>
      </c>
      <c r="F39" s="36"/>
      <c r="G39" s="36"/>
    </row>
    <row r="40" spans="1:7" ht="13.5">
      <c r="A40" s="39" t="s">
        <v>87</v>
      </c>
      <c r="B40" s="7" t="s">
        <v>93</v>
      </c>
      <c r="C40" s="6">
        <v>1406.2</v>
      </c>
      <c r="D40" s="6">
        <v>1124.75</v>
      </c>
      <c r="E40" s="8">
        <f t="shared" si="0"/>
        <v>2530.95</v>
      </c>
      <c r="F40" s="36"/>
      <c r="G40" s="36"/>
    </row>
    <row r="41" spans="1:7" ht="13.5">
      <c r="A41" s="39" t="s">
        <v>88</v>
      </c>
      <c r="B41" s="7" t="s">
        <v>95</v>
      </c>
      <c r="C41" s="6">
        <v>423.05</v>
      </c>
      <c r="D41" s="6">
        <v>338.46</v>
      </c>
      <c r="E41" s="8">
        <f t="shared" si="0"/>
        <v>761.51</v>
      </c>
      <c r="F41" s="36"/>
      <c r="G41" s="36"/>
    </row>
    <row r="42" spans="1:7" ht="13.5">
      <c r="A42" s="39" t="s">
        <v>94</v>
      </c>
      <c r="B42" s="7" t="s">
        <v>98</v>
      </c>
      <c r="C42" s="6">
        <v>357.79</v>
      </c>
      <c r="D42" s="6">
        <v>286.25</v>
      </c>
      <c r="E42" s="8">
        <f t="shared" si="0"/>
        <v>644.04</v>
      </c>
      <c r="F42" s="36"/>
      <c r="G42" s="36"/>
    </row>
    <row r="43" spans="1:7" ht="13.5">
      <c r="A43" s="39" t="s">
        <v>96</v>
      </c>
      <c r="B43" s="7" t="s">
        <v>99</v>
      </c>
      <c r="C43" s="6">
        <v>403.63</v>
      </c>
      <c r="D43" s="6">
        <v>322.86</v>
      </c>
      <c r="E43" s="8">
        <f t="shared" si="0"/>
        <v>726.49</v>
      </c>
      <c r="F43" s="36"/>
      <c r="G43" s="36"/>
    </row>
    <row r="44" spans="1:7" ht="13.5">
      <c r="A44" s="39" t="s">
        <v>100</v>
      </c>
      <c r="B44" s="7" t="s">
        <v>107</v>
      </c>
      <c r="C44" s="6">
        <v>1192.39</v>
      </c>
      <c r="D44" s="6">
        <v>953.87</v>
      </c>
      <c r="E44" s="8">
        <f t="shared" si="0"/>
        <v>2146.26</v>
      </c>
      <c r="F44" s="36"/>
      <c r="G44" s="36"/>
    </row>
    <row r="45" spans="1:7" ht="13.5">
      <c r="A45" s="39"/>
      <c r="B45" s="7" t="s">
        <v>37</v>
      </c>
      <c r="C45" s="7">
        <f>SUM(C7:C44)</f>
        <v>61895.23999999999</v>
      </c>
      <c r="D45" s="7">
        <f>SUM(D7:D44)</f>
        <v>49515.060000000005</v>
      </c>
      <c r="E45" s="8">
        <f t="shared" si="0"/>
        <v>111410.29999999999</v>
      </c>
      <c r="F45" s="36"/>
      <c r="G45" s="36"/>
    </row>
    <row r="46" spans="1:7" ht="13.5">
      <c r="A46" s="36"/>
      <c r="B46" s="36"/>
      <c r="C46" s="1"/>
      <c r="D46" s="1"/>
      <c r="E46" s="40"/>
      <c r="F46" s="36"/>
      <c r="G46" s="36"/>
    </row>
    <row r="48" ht="12.75">
      <c r="D48" s="3"/>
    </row>
    <row r="49" ht="12.75">
      <c r="C49" s="3"/>
    </row>
    <row r="56" ht="12.75">
      <c r="C56" s="3"/>
    </row>
  </sheetData>
  <mergeCells count="1">
    <mergeCell ref="A3:G3"/>
  </mergeCells>
  <printOptions/>
  <pageMargins left="0.75" right="0.75" top="1" bottom="1" header="0.5" footer="0.5"/>
  <pageSetup horizontalDpi="300" verticalDpi="300" orientation="portrait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H52"/>
  <sheetViews>
    <sheetView workbookViewId="0" topLeftCell="A25">
      <selection activeCell="L13" sqref="L13"/>
    </sheetView>
  </sheetViews>
  <sheetFormatPr defaultColWidth="9.140625" defaultRowHeight="12.75"/>
  <cols>
    <col min="2" max="2" width="29.140625" style="0" customWidth="1"/>
    <col min="3" max="3" width="12.57421875" style="0" customWidth="1"/>
    <col min="4" max="4" width="10.140625" style="0" bestFit="1" customWidth="1"/>
    <col min="5" max="5" width="12.57421875" style="0" bestFit="1" customWidth="1"/>
  </cols>
  <sheetData>
    <row r="3" spans="1:8" ht="13.5">
      <c r="A3" s="88" t="s">
        <v>120</v>
      </c>
      <c r="B3" s="88"/>
      <c r="C3" s="88"/>
      <c r="D3" s="88"/>
      <c r="E3" s="88"/>
      <c r="F3" s="88"/>
      <c r="G3" s="88"/>
      <c r="H3" s="88"/>
    </row>
    <row r="4" spans="1:8" ht="13.5">
      <c r="A4" s="36"/>
      <c r="B4" s="36"/>
      <c r="C4" s="38"/>
      <c r="D4" s="1"/>
      <c r="E4" s="1"/>
      <c r="F4" s="1"/>
      <c r="G4" s="36"/>
      <c r="H4" s="36"/>
    </row>
    <row r="5" spans="1:8" ht="27">
      <c r="A5" s="49" t="s">
        <v>0</v>
      </c>
      <c r="B5" s="49" t="s">
        <v>1</v>
      </c>
      <c r="C5" s="51" t="s">
        <v>43</v>
      </c>
      <c r="D5" s="1"/>
      <c r="E5" s="1"/>
      <c r="F5" s="1"/>
      <c r="G5" s="36"/>
      <c r="H5" s="36"/>
    </row>
    <row r="6" spans="1:8" ht="13.5">
      <c r="A6" s="39" t="s">
        <v>81</v>
      </c>
      <c r="B6" s="7" t="s">
        <v>6</v>
      </c>
      <c r="C6" s="8">
        <v>12449.92</v>
      </c>
      <c r="D6" s="1"/>
      <c r="E6" s="1"/>
      <c r="F6" s="1"/>
      <c r="G6" s="36"/>
      <c r="H6" s="36"/>
    </row>
    <row r="7" spans="1:8" ht="13.5">
      <c r="A7" s="39" t="s">
        <v>54</v>
      </c>
      <c r="B7" s="7" t="s">
        <v>41</v>
      </c>
      <c r="C7" s="8">
        <f>4145.29+1378.61</f>
        <v>5523.9</v>
      </c>
      <c r="D7" s="1"/>
      <c r="E7" s="1"/>
      <c r="F7" s="1"/>
      <c r="G7" s="36"/>
      <c r="H7" s="36"/>
    </row>
    <row r="8" spans="1:8" ht="13.5">
      <c r="A8" s="39" t="s">
        <v>55</v>
      </c>
      <c r="B8" s="7" t="s">
        <v>8</v>
      </c>
      <c r="C8" s="8">
        <f>1097.18+591.27+1962.16+3123.55</f>
        <v>6774.16</v>
      </c>
      <c r="D8" s="1"/>
      <c r="E8" s="1"/>
      <c r="F8" s="1"/>
      <c r="G8" s="36"/>
      <c r="H8" s="36"/>
    </row>
    <row r="9" spans="1:8" ht="13.5">
      <c r="A9" s="39" t="s">
        <v>56</v>
      </c>
      <c r="B9" s="7" t="s">
        <v>9</v>
      </c>
      <c r="C9" s="8">
        <f>1273.78+833.46</f>
        <v>2107.24</v>
      </c>
      <c r="D9" s="1"/>
      <c r="E9" s="1"/>
      <c r="F9" s="1"/>
      <c r="G9" s="36"/>
      <c r="H9" s="36"/>
    </row>
    <row r="10" spans="1:8" ht="13.5">
      <c r="A10" s="39" t="s">
        <v>57</v>
      </c>
      <c r="B10" s="7" t="s">
        <v>10</v>
      </c>
      <c r="C10" s="8">
        <f>977.69+487.78</f>
        <v>1465.47</v>
      </c>
      <c r="D10" s="1"/>
      <c r="E10" s="1"/>
      <c r="F10" s="1"/>
      <c r="G10" s="36"/>
      <c r="H10" s="36"/>
    </row>
    <row r="11" spans="1:8" ht="13.5">
      <c r="A11" s="39" t="s">
        <v>58</v>
      </c>
      <c r="B11" s="7" t="s">
        <v>11</v>
      </c>
      <c r="C11" s="8">
        <v>5631.67</v>
      </c>
      <c r="D11" s="1"/>
      <c r="E11" s="1"/>
      <c r="F11" s="1"/>
      <c r="G11" s="36"/>
      <c r="H11" s="36"/>
    </row>
    <row r="12" spans="1:8" ht="13.5">
      <c r="A12" s="39" t="s">
        <v>59</v>
      </c>
      <c r="B12" s="7" t="s">
        <v>12</v>
      </c>
      <c r="C12" s="8">
        <v>2804.77</v>
      </c>
      <c r="D12" s="1"/>
      <c r="E12" s="1"/>
      <c r="F12" s="1"/>
      <c r="G12" s="36"/>
      <c r="H12" s="36"/>
    </row>
    <row r="13" spans="1:8" ht="13.5">
      <c r="A13" s="39" t="s">
        <v>60</v>
      </c>
      <c r="B13" s="7" t="s">
        <v>13</v>
      </c>
      <c r="C13" s="8">
        <f>73.51+1353.89+6451.22+1821.56+4955.08</f>
        <v>14655.26</v>
      </c>
      <c r="D13" s="1"/>
      <c r="E13" s="1"/>
      <c r="F13" s="1"/>
      <c r="G13" s="36"/>
      <c r="H13" s="36"/>
    </row>
    <row r="14" spans="1:8" ht="13.5">
      <c r="A14" s="39" t="s">
        <v>61</v>
      </c>
      <c r="B14" s="7" t="s">
        <v>14</v>
      </c>
      <c r="C14" s="8">
        <f>4053.17+959.15+5471.43+3619.46</f>
        <v>14103.21</v>
      </c>
      <c r="D14" s="1"/>
      <c r="E14" s="1"/>
      <c r="F14" s="1"/>
      <c r="G14" s="36"/>
      <c r="H14" s="36"/>
    </row>
    <row r="15" spans="1:8" ht="13.5">
      <c r="A15" s="39" t="s">
        <v>62</v>
      </c>
      <c r="B15" s="7" t="s">
        <v>15</v>
      </c>
      <c r="C15" s="8">
        <v>11754</v>
      </c>
      <c r="D15" s="1"/>
      <c r="E15" s="1"/>
      <c r="F15" s="1"/>
      <c r="G15" s="36"/>
      <c r="H15" s="36"/>
    </row>
    <row r="16" spans="1:8" ht="13.5">
      <c r="A16" s="39" t="s">
        <v>63</v>
      </c>
      <c r="B16" s="7" t="s">
        <v>16</v>
      </c>
      <c r="C16" s="8">
        <f>2686.29+877.5+694.61</f>
        <v>4258.4</v>
      </c>
      <c r="D16" s="1"/>
      <c r="E16" s="1"/>
      <c r="F16" s="1"/>
      <c r="G16" s="36"/>
      <c r="H16" s="36"/>
    </row>
    <row r="17" spans="1:8" ht="13.5">
      <c r="A17" s="39" t="s">
        <v>64</v>
      </c>
      <c r="B17" s="7" t="s">
        <v>42</v>
      </c>
      <c r="C17" s="8">
        <f>9391.32+8296.76+7003.56</f>
        <v>24691.640000000003</v>
      </c>
      <c r="D17" s="1"/>
      <c r="E17" s="1"/>
      <c r="F17" s="1"/>
      <c r="G17" s="36"/>
      <c r="H17" s="36"/>
    </row>
    <row r="18" spans="1:8" ht="13.5">
      <c r="A18" s="39" t="s">
        <v>65</v>
      </c>
      <c r="B18" s="7" t="s">
        <v>18</v>
      </c>
      <c r="C18" s="8">
        <v>3110.23</v>
      </c>
      <c r="D18" s="1"/>
      <c r="E18" s="1"/>
      <c r="F18" s="1"/>
      <c r="G18" s="36"/>
      <c r="H18" s="36"/>
    </row>
    <row r="19" spans="1:8" ht="13.5">
      <c r="A19" s="39" t="s">
        <v>66</v>
      </c>
      <c r="B19" s="7" t="s">
        <v>19</v>
      </c>
      <c r="C19" s="8">
        <v>1934.87</v>
      </c>
      <c r="D19" s="1"/>
      <c r="E19" s="1"/>
      <c r="F19" s="1"/>
      <c r="G19" s="36"/>
      <c r="H19" s="36"/>
    </row>
    <row r="20" spans="1:8" ht="13.5">
      <c r="A20" s="39" t="s">
        <v>67</v>
      </c>
      <c r="B20" s="7" t="s">
        <v>20</v>
      </c>
      <c r="C20" s="8">
        <f>1001.23+6424.85</f>
        <v>7426.08</v>
      </c>
      <c r="D20" s="1"/>
      <c r="E20" s="1"/>
      <c r="F20" s="1"/>
      <c r="G20" s="36"/>
      <c r="H20" s="36"/>
    </row>
    <row r="21" spans="1:8" ht="13.5">
      <c r="A21" s="39" t="s">
        <v>68</v>
      </c>
      <c r="B21" s="7" t="s">
        <v>21</v>
      </c>
      <c r="C21" s="8">
        <v>2155.54</v>
      </c>
      <c r="D21" s="1"/>
      <c r="E21" s="1"/>
      <c r="F21" s="1"/>
      <c r="G21" s="36"/>
      <c r="H21" s="36"/>
    </row>
    <row r="22" spans="1:8" ht="13.5">
      <c r="A22" s="39" t="s">
        <v>69</v>
      </c>
      <c r="B22" s="7" t="s">
        <v>22</v>
      </c>
      <c r="C22" s="8">
        <v>119.32</v>
      </c>
      <c r="D22" s="1"/>
      <c r="E22" s="1"/>
      <c r="F22" s="1"/>
      <c r="G22" s="36"/>
      <c r="H22" s="36"/>
    </row>
    <row r="23" spans="1:8" ht="13.5">
      <c r="A23" s="39" t="s">
        <v>70</v>
      </c>
      <c r="B23" s="7" t="s">
        <v>23</v>
      </c>
      <c r="C23" s="8">
        <v>2135.27</v>
      </c>
      <c r="D23" s="1"/>
      <c r="E23" s="1"/>
      <c r="F23" s="1"/>
      <c r="G23" s="36"/>
      <c r="H23" s="36"/>
    </row>
    <row r="24" spans="1:8" ht="13.5">
      <c r="A24" s="39" t="s">
        <v>71</v>
      </c>
      <c r="B24" s="7" t="s">
        <v>24</v>
      </c>
      <c r="C24" s="8">
        <f>1251.24+825.24+155.25+3.01</f>
        <v>2234.7400000000002</v>
      </c>
      <c r="D24" s="1"/>
      <c r="E24" s="1"/>
      <c r="F24" s="1"/>
      <c r="G24" s="36"/>
      <c r="H24" s="36"/>
    </row>
    <row r="25" spans="1:8" ht="13.5">
      <c r="A25" s="39" t="s">
        <v>72</v>
      </c>
      <c r="B25" s="7" t="s">
        <v>25</v>
      </c>
      <c r="C25" s="8">
        <v>3486.85</v>
      </c>
      <c r="D25" s="1"/>
      <c r="E25" s="1"/>
      <c r="F25" s="1"/>
      <c r="G25" s="36"/>
      <c r="H25" s="36"/>
    </row>
    <row r="26" spans="1:8" ht="13.5">
      <c r="A26" s="39" t="s">
        <v>73</v>
      </c>
      <c r="B26" s="7" t="s">
        <v>26</v>
      </c>
      <c r="C26" s="8">
        <f>1163.96+126.8+1769.22+1315.16+2196.88</f>
        <v>6572.02</v>
      </c>
      <c r="D26" s="1"/>
      <c r="E26" s="1"/>
      <c r="F26" s="1"/>
      <c r="G26" s="36"/>
      <c r="H26" s="36"/>
    </row>
    <row r="27" spans="1:8" ht="13.5">
      <c r="A27" s="39" t="s">
        <v>74</v>
      </c>
      <c r="B27" s="7" t="s">
        <v>27</v>
      </c>
      <c r="C27" s="8">
        <v>550.74</v>
      </c>
      <c r="D27" s="1"/>
      <c r="E27" s="1"/>
      <c r="F27" s="1"/>
      <c r="G27" s="36"/>
      <c r="H27" s="36"/>
    </row>
    <row r="28" spans="1:8" ht="13.5">
      <c r="A28" s="39" t="s">
        <v>75</v>
      </c>
      <c r="B28" s="7" t="s">
        <v>28</v>
      </c>
      <c r="C28" s="8">
        <f>1264.89+16.65</f>
        <v>1281.5400000000002</v>
      </c>
      <c r="D28" s="1"/>
      <c r="E28" s="1"/>
      <c r="F28" s="1"/>
      <c r="G28" s="36"/>
      <c r="H28" s="36"/>
    </row>
    <row r="29" spans="1:8" ht="13.5">
      <c r="A29" s="39" t="s">
        <v>76</v>
      </c>
      <c r="B29" s="7" t="s">
        <v>29</v>
      </c>
      <c r="C29" s="8">
        <f>2765.48+5463.12+10450.58+2787.46</f>
        <v>21466.64</v>
      </c>
      <c r="D29" s="1"/>
      <c r="E29" s="1"/>
      <c r="F29" s="1"/>
      <c r="G29" s="36"/>
      <c r="H29" s="36"/>
    </row>
    <row r="30" spans="1:8" ht="13.5">
      <c r="A30" s="39" t="s">
        <v>77</v>
      </c>
      <c r="B30" s="7" t="s">
        <v>30</v>
      </c>
      <c r="C30" s="8"/>
      <c r="D30" s="1"/>
      <c r="E30" s="1"/>
      <c r="F30" s="1"/>
      <c r="G30" s="36"/>
      <c r="H30" s="36"/>
    </row>
    <row r="31" spans="1:8" ht="13.5">
      <c r="A31" s="39" t="s">
        <v>78</v>
      </c>
      <c r="B31" s="7" t="s">
        <v>31</v>
      </c>
      <c r="C31" s="8">
        <v>4321.07</v>
      </c>
      <c r="D31" s="1"/>
      <c r="E31" s="1"/>
      <c r="F31" s="1"/>
      <c r="G31" s="36"/>
      <c r="H31" s="36"/>
    </row>
    <row r="32" spans="1:8" ht="13.5">
      <c r="A32" s="39" t="s">
        <v>79</v>
      </c>
      <c r="B32" s="7" t="s">
        <v>32</v>
      </c>
      <c r="C32" s="8">
        <f>1991.96+978.63</f>
        <v>2970.59</v>
      </c>
      <c r="D32" s="1"/>
      <c r="E32" s="1"/>
      <c r="F32" s="1"/>
      <c r="G32" s="36"/>
      <c r="H32" s="36"/>
    </row>
    <row r="33" spans="1:8" ht="13.5">
      <c r="A33" s="39" t="s">
        <v>80</v>
      </c>
      <c r="B33" s="7" t="s">
        <v>33</v>
      </c>
      <c r="C33" s="8">
        <f>3303+303.76</f>
        <v>3606.76</v>
      </c>
      <c r="D33" s="1"/>
      <c r="E33" s="1"/>
      <c r="F33" s="1"/>
      <c r="G33" s="36"/>
      <c r="H33" s="36"/>
    </row>
    <row r="34" spans="1:8" ht="13.5">
      <c r="A34" s="39" t="s">
        <v>82</v>
      </c>
      <c r="B34" s="7" t="s">
        <v>34</v>
      </c>
      <c r="C34" s="8">
        <f>1403.55+1068.85+9377.84</f>
        <v>11850.24</v>
      </c>
      <c r="D34" s="1"/>
      <c r="E34" s="1"/>
      <c r="F34" s="1"/>
      <c r="G34" s="36"/>
      <c r="H34" s="36"/>
    </row>
    <row r="35" spans="1:8" ht="13.5">
      <c r="A35" s="39" t="s">
        <v>83</v>
      </c>
      <c r="B35" s="7" t="s">
        <v>35</v>
      </c>
      <c r="C35" s="8">
        <f>4525.3+225.47</f>
        <v>4750.77</v>
      </c>
      <c r="D35" s="1"/>
      <c r="E35" s="1"/>
      <c r="F35" s="1"/>
      <c r="G35" s="36"/>
      <c r="H35" s="36"/>
    </row>
    <row r="36" spans="1:8" ht="13.5">
      <c r="A36" s="39" t="s">
        <v>84</v>
      </c>
      <c r="B36" s="7" t="s">
        <v>36</v>
      </c>
      <c r="C36" s="8">
        <f>666.97</f>
        <v>666.97</v>
      </c>
      <c r="D36" s="1"/>
      <c r="E36" s="1"/>
      <c r="F36" s="1"/>
      <c r="G36" s="36"/>
      <c r="H36" s="36"/>
    </row>
    <row r="37" spans="1:8" ht="13.5">
      <c r="A37" s="39" t="s">
        <v>85</v>
      </c>
      <c r="B37" s="7" t="s">
        <v>89</v>
      </c>
      <c r="C37" s="8">
        <v>580.65</v>
      </c>
      <c r="D37" s="1"/>
      <c r="E37" s="1"/>
      <c r="F37" s="1"/>
      <c r="G37" s="36"/>
      <c r="H37" s="36"/>
    </row>
    <row r="38" spans="1:8" ht="13.5">
      <c r="A38" s="39" t="s">
        <v>86</v>
      </c>
      <c r="B38" s="7" t="s">
        <v>92</v>
      </c>
      <c r="C38" s="8">
        <f>1897.91+296.43+1168.57</f>
        <v>3362.91</v>
      </c>
      <c r="D38" s="1"/>
      <c r="E38" s="1"/>
      <c r="F38" s="1"/>
      <c r="G38" s="36"/>
      <c r="H38" s="36"/>
    </row>
    <row r="39" spans="1:8" ht="13.5">
      <c r="A39" s="39" t="s">
        <v>87</v>
      </c>
      <c r="B39" s="7" t="s">
        <v>93</v>
      </c>
      <c r="C39" s="8">
        <v>7157.09</v>
      </c>
      <c r="D39" s="1"/>
      <c r="E39" s="1"/>
      <c r="F39" s="1"/>
      <c r="G39" s="36"/>
      <c r="H39" s="36"/>
    </row>
    <row r="40" spans="1:8" ht="13.5">
      <c r="A40" s="39" t="s">
        <v>88</v>
      </c>
      <c r="B40" s="7" t="s">
        <v>95</v>
      </c>
      <c r="C40" s="8">
        <v>823.48</v>
      </c>
      <c r="D40" s="1"/>
      <c r="E40" s="1"/>
      <c r="F40" s="1"/>
      <c r="G40" s="36"/>
      <c r="H40" s="36"/>
    </row>
    <row r="41" spans="1:8" ht="13.5">
      <c r="A41" s="39" t="s">
        <v>94</v>
      </c>
      <c r="B41" s="7" t="s">
        <v>98</v>
      </c>
      <c r="C41" s="8">
        <v>893.3</v>
      </c>
      <c r="D41" s="1"/>
      <c r="E41" s="1"/>
      <c r="F41" s="1"/>
      <c r="G41" s="36"/>
      <c r="H41" s="36"/>
    </row>
    <row r="42" spans="1:8" ht="13.5">
      <c r="A42" s="39" t="s">
        <v>96</v>
      </c>
      <c r="B42" s="7" t="s">
        <v>99</v>
      </c>
      <c r="C42" s="8">
        <v>858.17</v>
      </c>
      <c r="D42" s="1"/>
      <c r="E42" s="1"/>
      <c r="F42" s="1"/>
      <c r="G42" s="36"/>
      <c r="H42" s="36"/>
    </row>
    <row r="43" spans="1:8" ht="13.5">
      <c r="A43" s="39" t="s">
        <v>100</v>
      </c>
      <c r="B43" s="7" t="s">
        <v>107</v>
      </c>
      <c r="C43" s="8">
        <v>963.71</v>
      </c>
      <c r="D43" s="1"/>
      <c r="E43" s="1"/>
      <c r="F43" s="1"/>
      <c r="G43" s="36"/>
      <c r="H43" s="36"/>
    </row>
    <row r="44" spans="1:8" ht="13.5">
      <c r="A44" s="52"/>
      <c r="B44" s="7" t="s">
        <v>37</v>
      </c>
      <c r="C44" s="8">
        <f>SUM(C6:C43)</f>
        <v>201499.18999999997</v>
      </c>
      <c r="D44" s="1"/>
      <c r="E44" s="1"/>
      <c r="F44" s="1"/>
      <c r="G44" s="36"/>
      <c r="H44" s="36"/>
    </row>
    <row r="45" spans="1:8" ht="13.5">
      <c r="A45" s="36"/>
      <c r="B45" s="36"/>
      <c r="C45" s="38"/>
      <c r="D45" s="1"/>
      <c r="E45" s="1"/>
      <c r="F45" s="1"/>
      <c r="G45" s="36"/>
      <c r="H45" s="36"/>
    </row>
    <row r="46" spans="1:8" ht="13.5">
      <c r="A46" s="36"/>
      <c r="B46" s="36"/>
      <c r="C46" s="38"/>
      <c r="D46" s="1"/>
      <c r="E46" s="1"/>
      <c r="F46" s="36"/>
      <c r="G46" s="36"/>
      <c r="H46" s="36"/>
    </row>
    <row r="48" spans="2:4" ht="12.75">
      <c r="B48" s="3"/>
      <c r="D48" s="5"/>
    </row>
    <row r="49" spans="3:4" ht="12.75">
      <c r="C49" s="3"/>
      <c r="D49" s="3"/>
    </row>
    <row r="52" ht="12.75">
      <c r="C52" s="3"/>
    </row>
  </sheetData>
  <mergeCells count="1">
    <mergeCell ref="A3:H3"/>
  </mergeCells>
  <printOptions/>
  <pageMargins left="0.75" right="0.75" top="1" bottom="1" header="0.5" footer="0.5"/>
  <pageSetup horizontalDpi="300" verticalDpi="300" orientation="portrait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6"/>
  <sheetViews>
    <sheetView workbookViewId="0" topLeftCell="A1">
      <selection activeCell="I12" sqref="I12"/>
    </sheetView>
  </sheetViews>
  <sheetFormatPr defaultColWidth="9.140625" defaultRowHeight="12.75"/>
  <cols>
    <col min="2" max="2" width="28.8515625" style="0" customWidth="1"/>
    <col min="3" max="3" width="13.7109375" style="0" customWidth="1"/>
  </cols>
  <sheetData>
    <row r="1" spans="1:8" ht="12.75" customHeight="1">
      <c r="A1" s="89" t="s">
        <v>121</v>
      </c>
      <c r="B1" s="89"/>
      <c r="C1" s="89"/>
      <c r="D1" s="89"/>
      <c r="E1" s="89"/>
      <c r="F1" s="89"/>
      <c r="G1" s="89"/>
      <c r="H1" s="89"/>
    </row>
    <row r="2" spans="1:8" ht="13.5">
      <c r="A2" s="36"/>
      <c r="B2" s="36"/>
      <c r="C2" s="36"/>
      <c r="D2" s="41"/>
      <c r="E2" s="36"/>
      <c r="F2" s="36"/>
      <c r="G2" s="36"/>
      <c r="H2" s="36"/>
    </row>
    <row r="3" spans="1:8" ht="27">
      <c r="A3" s="49" t="s">
        <v>0</v>
      </c>
      <c r="B3" s="49" t="s">
        <v>1</v>
      </c>
      <c r="C3" s="50" t="s">
        <v>44</v>
      </c>
      <c r="D3" s="41"/>
      <c r="E3" s="36"/>
      <c r="F3" s="36"/>
      <c r="G3" s="36"/>
      <c r="H3" s="36"/>
    </row>
    <row r="4" spans="1:8" ht="13.5">
      <c r="A4" s="39" t="s">
        <v>81</v>
      </c>
      <c r="B4" s="7" t="s">
        <v>6</v>
      </c>
      <c r="C4" s="7">
        <v>9173.53</v>
      </c>
      <c r="D4" s="41"/>
      <c r="E4" s="36"/>
      <c r="F4" s="36"/>
      <c r="G4" s="36"/>
      <c r="H4" s="36"/>
    </row>
    <row r="5" spans="1:8" ht="13.5">
      <c r="A5" s="39" t="s">
        <v>54</v>
      </c>
      <c r="B5" s="7" t="s">
        <v>41</v>
      </c>
      <c r="C5" s="7"/>
      <c r="D5" s="41"/>
      <c r="E5" s="36"/>
      <c r="F5" s="36"/>
      <c r="G5" s="36"/>
      <c r="H5" s="36"/>
    </row>
    <row r="6" spans="1:8" ht="13.5">
      <c r="A6" s="39" t="s">
        <v>55</v>
      </c>
      <c r="B6" s="7" t="s">
        <v>8</v>
      </c>
      <c r="C6" s="7"/>
      <c r="D6" s="41"/>
      <c r="E6" s="36"/>
      <c r="F6" s="36"/>
      <c r="G6" s="36"/>
      <c r="H6" s="36"/>
    </row>
    <row r="7" spans="1:8" ht="13.5">
      <c r="A7" s="39" t="s">
        <v>56</v>
      </c>
      <c r="B7" s="7" t="s">
        <v>9</v>
      </c>
      <c r="C7" s="7">
        <f>1300</f>
        <v>1300</v>
      </c>
      <c r="D7" s="41"/>
      <c r="E7" s="36"/>
      <c r="F7" s="36"/>
      <c r="G7" s="36"/>
      <c r="H7" s="36"/>
    </row>
    <row r="8" spans="1:8" ht="13.5">
      <c r="A8" s="39" t="s">
        <v>57</v>
      </c>
      <c r="B8" s="7" t="s">
        <v>10</v>
      </c>
      <c r="C8" s="7">
        <v>557</v>
      </c>
      <c r="D8" s="41"/>
      <c r="E8" s="36"/>
      <c r="F8" s="36"/>
      <c r="G8" s="36"/>
      <c r="H8" s="36"/>
    </row>
    <row r="9" spans="1:8" ht="13.5">
      <c r="A9" s="39" t="s">
        <v>58</v>
      </c>
      <c r="B9" s="7" t="s">
        <v>11</v>
      </c>
      <c r="C9" s="7">
        <v>549.97</v>
      </c>
      <c r="D9" s="41"/>
      <c r="E9" s="36"/>
      <c r="F9" s="36"/>
      <c r="G9" s="36"/>
      <c r="H9" s="36"/>
    </row>
    <row r="10" spans="1:8" ht="13.5">
      <c r="A10" s="39" t="s">
        <v>59</v>
      </c>
      <c r="B10" s="7" t="s">
        <v>12</v>
      </c>
      <c r="C10" s="7">
        <v>4214.46</v>
      </c>
      <c r="D10" s="41"/>
      <c r="E10" s="36"/>
      <c r="F10" s="36"/>
      <c r="G10" s="36"/>
      <c r="H10" s="36"/>
    </row>
    <row r="11" spans="1:8" ht="13.5">
      <c r="A11" s="39" t="s">
        <v>60</v>
      </c>
      <c r="B11" s="7" t="s">
        <v>13</v>
      </c>
      <c r="C11" s="7">
        <f>1813.6+2631.27+4045.97</f>
        <v>8490.84</v>
      </c>
      <c r="D11" s="41"/>
      <c r="E11" s="36"/>
      <c r="F11" s="36"/>
      <c r="G11" s="36"/>
      <c r="H11" s="36"/>
    </row>
    <row r="12" spans="1:8" ht="13.5">
      <c r="A12" s="39" t="s">
        <v>61</v>
      </c>
      <c r="B12" s="7" t="s">
        <v>14</v>
      </c>
      <c r="C12" s="7">
        <f>937.51+1034.45</f>
        <v>1971.96</v>
      </c>
      <c r="D12" s="41"/>
      <c r="E12" s="36"/>
      <c r="F12" s="36"/>
      <c r="G12" s="36"/>
      <c r="H12" s="36"/>
    </row>
    <row r="13" spans="1:8" ht="13.5">
      <c r="A13" s="39" t="s">
        <v>62</v>
      </c>
      <c r="B13" s="7" t="s">
        <v>15</v>
      </c>
      <c r="C13" s="7">
        <v>14526.04</v>
      </c>
      <c r="D13" s="41"/>
      <c r="E13" s="36"/>
      <c r="F13" s="36"/>
      <c r="G13" s="36"/>
      <c r="H13" s="36"/>
    </row>
    <row r="14" spans="1:8" ht="13.5">
      <c r="A14" s="39" t="s">
        <v>63</v>
      </c>
      <c r="B14" s="7" t="s">
        <v>16</v>
      </c>
      <c r="C14" s="7">
        <f>1481.46</f>
        <v>1481.46</v>
      </c>
      <c r="D14" s="41"/>
      <c r="E14" s="36"/>
      <c r="F14" s="36"/>
      <c r="G14" s="36"/>
      <c r="H14" s="36"/>
    </row>
    <row r="15" spans="1:8" ht="13.5">
      <c r="A15" s="39" t="s">
        <v>64</v>
      </c>
      <c r="B15" s="7" t="s">
        <v>42</v>
      </c>
      <c r="C15" s="7">
        <f>954.22+3202.06+1785.32</f>
        <v>5941.599999999999</v>
      </c>
      <c r="D15" s="41"/>
      <c r="E15" s="36"/>
      <c r="F15" s="36"/>
      <c r="G15" s="36"/>
      <c r="H15" s="36"/>
    </row>
    <row r="16" spans="1:8" ht="13.5">
      <c r="A16" s="39" t="s">
        <v>65</v>
      </c>
      <c r="B16" s="7" t="s">
        <v>18</v>
      </c>
      <c r="C16" s="7">
        <v>1182.21</v>
      </c>
      <c r="D16" s="41"/>
      <c r="E16" s="36"/>
      <c r="F16" s="36"/>
      <c r="G16" s="36"/>
      <c r="H16" s="36"/>
    </row>
    <row r="17" spans="1:8" ht="13.5">
      <c r="A17" s="39" t="s">
        <v>66</v>
      </c>
      <c r="B17" s="7" t="s">
        <v>19</v>
      </c>
      <c r="C17" s="7">
        <v>2433.8</v>
      </c>
      <c r="D17" s="41"/>
      <c r="E17" s="36"/>
      <c r="F17" s="36"/>
      <c r="G17" s="36"/>
      <c r="H17" s="36"/>
    </row>
    <row r="18" spans="1:8" ht="13.5">
      <c r="A18" s="39" t="s">
        <v>67</v>
      </c>
      <c r="B18" s="7" t="s">
        <v>20</v>
      </c>
      <c r="C18" s="7">
        <v>11687.22</v>
      </c>
      <c r="D18" s="41"/>
      <c r="E18" s="36"/>
      <c r="F18" s="36"/>
      <c r="G18" s="36"/>
      <c r="H18" s="36"/>
    </row>
    <row r="19" spans="1:8" ht="13.5">
      <c r="A19" s="39" t="s">
        <v>68</v>
      </c>
      <c r="B19" s="7" t="s">
        <v>21</v>
      </c>
      <c r="C19" s="7"/>
      <c r="D19" s="41"/>
      <c r="E19" s="36"/>
      <c r="F19" s="36"/>
      <c r="G19" s="36"/>
      <c r="H19" s="36"/>
    </row>
    <row r="20" spans="1:8" ht="13.5">
      <c r="A20" s="39" t="s">
        <v>69</v>
      </c>
      <c r="B20" s="7" t="s">
        <v>22</v>
      </c>
      <c r="C20" s="7"/>
      <c r="D20" s="41"/>
      <c r="E20" s="36"/>
      <c r="F20" s="36"/>
      <c r="G20" s="36"/>
      <c r="H20" s="36"/>
    </row>
    <row r="21" spans="1:8" ht="13.5">
      <c r="A21" s="39" t="s">
        <v>70</v>
      </c>
      <c r="B21" s="7" t="s">
        <v>23</v>
      </c>
      <c r="C21" s="7"/>
      <c r="D21" s="41"/>
      <c r="E21" s="36"/>
      <c r="F21" s="36"/>
      <c r="G21" s="36"/>
      <c r="H21" s="36"/>
    </row>
    <row r="22" spans="1:8" ht="13.5">
      <c r="A22" s="39" t="s">
        <v>71</v>
      </c>
      <c r="B22" s="7" t="s">
        <v>24</v>
      </c>
      <c r="C22" s="7"/>
      <c r="D22" s="41"/>
      <c r="E22" s="36"/>
      <c r="F22" s="36"/>
      <c r="G22" s="36"/>
      <c r="H22" s="36"/>
    </row>
    <row r="23" spans="1:8" ht="13.5">
      <c r="A23" s="39" t="s">
        <v>72</v>
      </c>
      <c r="B23" s="7" t="s">
        <v>25</v>
      </c>
      <c r="C23" s="7">
        <v>4617.18</v>
      </c>
      <c r="D23" s="41"/>
      <c r="E23" s="36"/>
      <c r="F23" s="36"/>
      <c r="G23" s="36"/>
      <c r="H23" s="36"/>
    </row>
    <row r="24" spans="1:8" ht="13.5">
      <c r="A24" s="39" t="s">
        <v>73</v>
      </c>
      <c r="B24" s="7" t="s">
        <v>26</v>
      </c>
      <c r="C24" s="7">
        <f>1051.95+1288.19</f>
        <v>2340.1400000000003</v>
      </c>
      <c r="D24" s="41"/>
      <c r="E24" s="36"/>
      <c r="F24" s="36"/>
      <c r="G24" s="36"/>
      <c r="H24" s="36"/>
    </row>
    <row r="25" spans="1:8" ht="13.5">
      <c r="A25" s="39" t="s">
        <v>74</v>
      </c>
      <c r="B25" s="7" t="s">
        <v>27</v>
      </c>
      <c r="C25" s="7"/>
      <c r="D25" s="41"/>
      <c r="E25" s="36"/>
      <c r="F25" s="36"/>
      <c r="G25" s="36"/>
      <c r="H25" s="36"/>
    </row>
    <row r="26" spans="1:8" ht="13.5">
      <c r="A26" s="39" t="s">
        <v>75</v>
      </c>
      <c r="B26" s="7" t="s">
        <v>28</v>
      </c>
      <c r="C26" s="7">
        <v>747.78</v>
      </c>
      <c r="D26" s="41"/>
      <c r="E26" s="36"/>
      <c r="F26" s="36"/>
      <c r="G26" s="36"/>
      <c r="H26" s="36"/>
    </row>
    <row r="27" spans="1:8" ht="13.5">
      <c r="A27" s="39" t="s">
        <v>76</v>
      </c>
      <c r="B27" s="7" t="s">
        <v>29</v>
      </c>
      <c r="C27" s="7">
        <f>1637.22+1852.72+3977.78</f>
        <v>7467.72</v>
      </c>
      <c r="D27" s="41"/>
      <c r="E27" s="36"/>
      <c r="F27" s="36"/>
      <c r="G27" s="36"/>
      <c r="H27" s="36"/>
    </row>
    <row r="28" spans="1:8" ht="13.5">
      <c r="A28" s="39" t="s">
        <v>77</v>
      </c>
      <c r="B28" s="7" t="s">
        <v>30</v>
      </c>
      <c r="C28" s="7"/>
      <c r="D28" s="41"/>
      <c r="E28" s="36"/>
      <c r="F28" s="36"/>
      <c r="G28" s="36"/>
      <c r="H28" s="36"/>
    </row>
    <row r="29" spans="1:8" ht="13.5">
      <c r="A29" s="39" t="s">
        <v>78</v>
      </c>
      <c r="B29" s="7" t="s">
        <v>31</v>
      </c>
      <c r="C29" s="7">
        <v>9109.36</v>
      </c>
      <c r="D29" s="41"/>
      <c r="E29" s="36"/>
      <c r="F29" s="36"/>
      <c r="G29" s="36"/>
      <c r="H29" s="36"/>
    </row>
    <row r="30" spans="1:8" ht="13.5">
      <c r="A30" s="39" t="s">
        <v>79</v>
      </c>
      <c r="B30" s="7" t="s">
        <v>32</v>
      </c>
      <c r="C30" s="7">
        <f>461.28</f>
        <v>461.28</v>
      </c>
      <c r="D30" s="41"/>
      <c r="E30" s="36"/>
      <c r="F30" s="36"/>
      <c r="G30" s="36"/>
      <c r="H30" s="36"/>
    </row>
    <row r="31" spans="1:8" ht="13.5">
      <c r="A31" s="39" t="s">
        <v>80</v>
      </c>
      <c r="B31" s="7" t="s">
        <v>33</v>
      </c>
      <c r="C31" s="7"/>
      <c r="D31" s="41"/>
      <c r="E31" s="36"/>
      <c r="F31" s="36"/>
      <c r="G31" s="36"/>
      <c r="H31" s="36"/>
    </row>
    <row r="32" spans="1:8" ht="13.5">
      <c r="A32" s="39" t="s">
        <v>82</v>
      </c>
      <c r="B32" s="7" t="s">
        <v>34</v>
      </c>
      <c r="C32" s="7">
        <f>539.01+655.56+1987.72</f>
        <v>3182.29</v>
      </c>
      <c r="D32" s="41"/>
      <c r="E32" s="36"/>
      <c r="F32" s="36"/>
      <c r="G32" s="36"/>
      <c r="H32" s="36"/>
    </row>
    <row r="33" spans="1:8" ht="13.5">
      <c r="A33" s="39" t="s">
        <v>83</v>
      </c>
      <c r="B33" s="7" t="s">
        <v>35</v>
      </c>
      <c r="C33" s="7"/>
      <c r="D33" s="41"/>
      <c r="E33" s="36"/>
      <c r="F33" s="36"/>
      <c r="G33" s="36"/>
      <c r="H33" s="36"/>
    </row>
    <row r="34" spans="1:8" ht="13.5">
      <c r="A34" s="39" t="s">
        <v>84</v>
      </c>
      <c r="B34" s="7" t="s">
        <v>36</v>
      </c>
      <c r="C34" s="7">
        <v>1833.71</v>
      </c>
      <c r="D34" s="41"/>
      <c r="E34" s="36"/>
      <c r="F34" s="36"/>
      <c r="G34" s="36"/>
      <c r="H34" s="36"/>
    </row>
    <row r="35" spans="1:8" ht="13.5">
      <c r="A35" s="39" t="s">
        <v>85</v>
      </c>
      <c r="B35" s="7" t="s">
        <v>89</v>
      </c>
      <c r="C35" s="7"/>
      <c r="D35" s="41"/>
      <c r="E35" s="36"/>
      <c r="F35" s="36"/>
      <c r="G35" s="36"/>
      <c r="H35" s="36"/>
    </row>
    <row r="36" spans="1:8" ht="13.5">
      <c r="A36" s="39" t="s">
        <v>86</v>
      </c>
      <c r="B36" s="7" t="s">
        <v>92</v>
      </c>
      <c r="C36" s="7">
        <v>1893.65</v>
      </c>
      <c r="D36" s="41"/>
      <c r="E36" s="36"/>
      <c r="F36" s="36"/>
      <c r="G36" s="36"/>
      <c r="H36" s="36"/>
    </row>
    <row r="37" spans="1:8" ht="13.5">
      <c r="A37" s="39" t="s">
        <v>87</v>
      </c>
      <c r="B37" s="7" t="s">
        <v>93</v>
      </c>
      <c r="C37" s="7">
        <v>1037.74</v>
      </c>
      <c r="D37" s="41"/>
      <c r="E37" s="36"/>
      <c r="F37" s="36"/>
      <c r="G37" s="36"/>
      <c r="H37" s="36"/>
    </row>
    <row r="38" spans="1:8" ht="13.5">
      <c r="A38" s="39" t="s">
        <v>88</v>
      </c>
      <c r="B38" s="7" t="s">
        <v>95</v>
      </c>
      <c r="C38" s="7"/>
      <c r="D38" s="41"/>
      <c r="E38" s="36"/>
      <c r="F38" s="36"/>
      <c r="G38" s="36"/>
      <c r="H38" s="36"/>
    </row>
    <row r="39" spans="1:8" ht="13.5">
      <c r="A39" s="39" t="s">
        <v>94</v>
      </c>
      <c r="B39" s="7" t="s">
        <v>98</v>
      </c>
      <c r="C39" s="7"/>
      <c r="D39" s="41"/>
      <c r="E39" s="36"/>
      <c r="F39" s="36"/>
      <c r="G39" s="36"/>
      <c r="H39" s="36"/>
    </row>
    <row r="40" spans="1:8" ht="13.5">
      <c r="A40" s="39" t="s">
        <v>96</v>
      </c>
      <c r="B40" s="7" t="s">
        <v>99</v>
      </c>
      <c r="C40" s="7"/>
      <c r="D40" s="41"/>
      <c r="E40" s="36"/>
      <c r="F40" s="36"/>
      <c r="G40" s="36"/>
      <c r="H40" s="36"/>
    </row>
    <row r="41" spans="1:8" ht="13.5">
      <c r="A41" s="39" t="s">
        <v>100</v>
      </c>
      <c r="B41" s="7" t="s">
        <v>107</v>
      </c>
      <c r="C41" s="7"/>
      <c r="D41" s="41"/>
      <c r="E41" s="36"/>
      <c r="F41" s="36"/>
      <c r="G41" s="36"/>
      <c r="H41" s="36"/>
    </row>
    <row r="42" spans="1:8" ht="13.5">
      <c r="A42" s="52"/>
      <c r="B42" s="7" t="s">
        <v>37</v>
      </c>
      <c r="C42" s="7">
        <f>SUM(C4:C41)</f>
        <v>96200.94</v>
      </c>
      <c r="D42" s="41"/>
      <c r="E42" s="36"/>
      <c r="F42" s="36"/>
      <c r="G42" s="36"/>
      <c r="H42" s="36"/>
    </row>
    <row r="43" spans="1:8" ht="13.5">
      <c r="A43" s="36"/>
      <c r="B43" s="36"/>
      <c r="C43" s="36"/>
      <c r="D43" s="41"/>
      <c r="E43" s="36"/>
      <c r="F43" s="36"/>
      <c r="G43" s="36"/>
      <c r="H43" s="36"/>
    </row>
    <row r="44" spans="1:8" ht="13.5">
      <c r="A44" s="36"/>
      <c r="B44" s="36"/>
      <c r="C44" s="36"/>
      <c r="D44" s="36"/>
      <c r="E44" s="36"/>
      <c r="F44" s="36"/>
      <c r="G44" s="36"/>
      <c r="H44" s="36"/>
    </row>
    <row r="45" spans="1:8" ht="13.5">
      <c r="A45" s="36"/>
      <c r="B45" s="36"/>
      <c r="C45" s="36"/>
      <c r="D45" s="36"/>
      <c r="E45" s="36"/>
      <c r="F45" s="36"/>
      <c r="G45" s="36"/>
      <c r="H45" s="36"/>
    </row>
    <row r="46" ht="12.75">
      <c r="C46" s="3"/>
    </row>
  </sheetData>
  <mergeCells count="1">
    <mergeCell ref="A1:H1"/>
  </mergeCells>
  <printOptions/>
  <pageMargins left="0.75" right="0.75" top="1" bottom="1" header="0.5" footer="0.5"/>
  <pageSetup horizontalDpi="300" verticalDpi="3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G46"/>
  <sheetViews>
    <sheetView workbookViewId="0" topLeftCell="A1">
      <selection activeCell="L17" sqref="L17"/>
    </sheetView>
  </sheetViews>
  <sheetFormatPr defaultColWidth="9.140625" defaultRowHeight="12.75"/>
  <cols>
    <col min="2" max="2" width="27.8515625" style="0" customWidth="1"/>
    <col min="3" max="3" width="13.57421875" style="0" customWidth="1"/>
    <col min="4" max="4" width="12.57421875" style="0" bestFit="1" customWidth="1"/>
    <col min="5" max="5" width="16.140625" style="0" bestFit="1" customWidth="1"/>
  </cols>
  <sheetData>
    <row r="3" spans="1:7" ht="12.75" customHeight="1">
      <c r="A3" s="89" t="s">
        <v>122</v>
      </c>
      <c r="B3" s="89"/>
      <c r="C3" s="89"/>
      <c r="D3" s="89"/>
      <c r="E3" s="89"/>
      <c r="F3" s="89"/>
      <c r="G3" s="89"/>
    </row>
    <row r="4" spans="1:7" ht="13.5">
      <c r="A4" s="90"/>
      <c r="B4" s="90"/>
      <c r="C4" s="43" t="s">
        <v>45</v>
      </c>
      <c r="D4" s="1"/>
      <c r="E4" s="36"/>
      <c r="F4" s="36"/>
      <c r="G4" s="36"/>
    </row>
    <row r="5" spans="1:7" ht="13.5">
      <c r="A5" s="49" t="s">
        <v>0</v>
      </c>
      <c r="B5" s="49" t="s">
        <v>1</v>
      </c>
      <c r="C5" s="50" t="s">
        <v>46</v>
      </c>
      <c r="D5" s="50" t="s">
        <v>47</v>
      </c>
      <c r="E5" s="51" t="s">
        <v>50</v>
      </c>
      <c r="F5" s="36"/>
      <c r="G5" s="36"/>
    </row>
    <row r="6" spans="1:7" ht="13.5">
      <c r="A6" s="39" t="s">
        <v>81</v>
      </c>
      <c r="B6" s="7" t="s">
        <v>6</v>
      </c>
      <c r="C6" s="6">
        <v>10806.15</v>
      </c>
      <c r="D6" s="6">
        <v>28196.62</v>
      </c>
      <c r="E6" s="8">
        <f>C6+D6</f>
        <v>39002.77</v>
      </c>
      <c r="F6" s="36"/>
      <c r="G6" s="36"/>
    </row>
    <row r="7" spans="1:7" ht="13.5">
      <c r="A7" s="39" t="s">
        <v>54</v>
      </c>
      <c r="B7" s="7" t="s">
        <v>41</v>
      </c>
      <c r="C7" s="6">
        <f>1037.82+3419.86</f>
        <v>4457.68</v>
      </c>
      <c r="D7" s="6">
        <f>2591.61+8943.35</f>
        <v>11534.960000000001</v>
      </c>
      <c r="E7" s="8">
        <f aca="true" t="shared" si="0" ref="E7:E44">C7+D7</f>
        <v>15992.640000000001</v>
      </c>
      <c r="F7" s="36"/>
      <c r="G7" s="36"/>
    </row>
    <row r="8" spans="1:7" ht="13.5">
      <c r="A8" s="39" t="s">
        <v>55</v>
      </c>
      <c r="B8" s="7" t="s">
        <v>8</v>
      </c>
      <c r="C8" s="6">
        <v>360.45</v>
      </c>
      <c r="D8" s="6">
        <v>380.19</v>
      </c>
      <c r="E8" s="8">
        <f t="shared" si="0"/>
        <v>740.64</v>
      </c>
      <c r="F8" s="36"/>
      <c r="G8" s="36"/>
    </row>
    <row r="9" spans="1:7" ht="13.5">
      <c r="A9" s="39" t="s">
        <v>56</v>
      </c>
      <c r="B9" s="7" t="s">
        <v>9</v>
      </c>
      <c r="C9" s="6">
        <f>279.96+2000.96</f>
        <v>2280.92</v>
      </c>
      <c r="D9" s="6">
        <f>706.08+4010.68</f>
        <v>4716.76</v>
      </c>
      <c r="E9" s="8">
        <f t="shared" si="0"/>
        <v>6997.68</v>
      </c>
      <c r="F9" s="36"/>
      <c r="G9" s="36"/>
    </row>
    <row r="10" spans="1:7" ht="13.5">
      <c r="A10" s="39" t="s">
        <v>57</v>
      </c>
      <c r="B10" s="7" t="s">
        <v>10</v>
      </c>
      <c r="C10" s="6">
        <v>962.87</v>
      </c>
      <c r="D10" s="6">
        <v>2782.18</v>
      </c>
      <c r="E10" s="8">
        <f t="shared" si="0"/>
        <v>3745.0499999999997</v>
      </c>
      <c r="F10" s="36"/>
      <c r="G10" s="36"/>
    </row>
    <row r="11" spans="1:7" ht="13.5">
      <c r="A11" s="39" t="s">
        <v>58</v>
      </c>
      <c r="B11" s="7" t="s">
        <v>11</v>
      </c>
      <c r="C11" s="6">
        <v>772.62</v>
      </c>
      <c r="D11" s="6">
        <v>2392.02</v>
      </c>
      <c r="E11" s="8">
        <f t="shared" si="0"/>
        <v>3164.64</v>
      </c>
      <c r="F11" s="36"/>
      <c r="G11" s="36"/>
    </row>
    <row r="12" spans="1:7" ht="13.5">
      <c r="A12" s="39" t="s">
        <v>59</v>
      </c>
      <c r="B12" s="7" t="s">
        <v>12</v>
      </c>
      <c r="C12" s="6">
        <v>1214.97</v>
      </c>
      <c r="D12" s="6">
        <v>3558.5</v>
      </c>
      <c r="E12" s="8">
        <f t="shared" si="0"/>
        <v>4773.47</v>
      </c>
      <c r="F12" s="36"/>
      <c r="G12" s="36"/>
    </row>
    <row r="13" spans="1:7" ht="13.5">
      <c r="A13" s="39" t="s">
        <v>60</v>
      </c>
      <c r="B13" s="7" t="s">
        <v>13</v>
      </c>
      <c r="C13" s="6">
        <f>1141.24+2782.66+1195.02</f>
        <v>5118.92</v>
      </c>
      <c r="D13" s="6">
        <f>3690.67+5765.06+4178.83</f>
        <v>13634.56</v>
      </c>
      <c r="E13" s="8">
        <f t="shared" si="0"/>
        <v>18753.48</v>
      </c>
      <c r="F13" s="36"/>
      <c r="G13" s="36"/>
    </row>
    <row r="14" spans="1:7" ht="13.5">
      <c r="A14" s="39" t="s">
        <v>61</v>
      </c>
      <c r="B14" s="7" t="s">
        <v>14</v>
      </c>
      <c r="C14" s="6">
        <f>692.94+433.32+975.89</f>
        <v>2102.15</v>
      </c>
      <c r="D14" s="6">
        <f>2350.68+2149.85+2277.7</f>
        <v>6778.23</v>
      </c>
      <c r="E14" s="8">
        <f t="shared" si="0"/>
        <v>8880.38</v>
      </c>
      <c r="F14" s="36"/>
      <c r="G14" s="36"/>
    </row>
    <row r="15" spans="1:7" ht="13.5">
      <c r="A15" s="39" t="s">
        <v>62</v>
      </c>
      <c r="B15" s="7" t="s">
        <v>15</v>
      </c>
      <c r="C15" s="6">
        <v>12294.35</v>
      </c>
      <c r="D15" s="6">
        <v>51951.24</v>
      </c>
      <c r="E15" s="8">
        <f t="shared" si="0"/>
        <v>64245.59</v>
      </c>
      <c r="F15" s="36"/>
      <c r="G15" s="36"/>
    </row>
    <row r="16" spans="1:7" ht="13.5">
      <c r="A16" s="39" t="s">
        <v>63</v>
      </c>
      <c r="B16" s="7" t="s">
        <v>16</v>
      </c>
      <c r="C16" s="6">
        <f>1447.64+4946.89</f>
        <v>6394.530000000001</v>
      </c>
      <c r="D16" s="6">
        <f>4316.88+12983.32</f>
        <v>17300.2</v>
      </c>
      <c r="E16" s="8">
        <f t="shared" si="0"/>
        <v>23694.730000000003</v>
      </c>
      <c r="F16" s="36"/>
      <c r="G16" s="36"/>
    </row>
    <row r="17" spans="1:7" ht="13.5">
      <c r="A17" s="39" t="s">
        <v>64</v>
      </c>
      <c r="B17" s="7" t="s">
        <v>42</v>
      </c>
      <c r="C17" s="6">
        <f>870.27+1781.6+4998.07</f>
        <v>7649.94</v>
      </c>
      <c r="D17" s="6">
        <f>4828.2+4712.21+12590.31</f>
        <v>22130.72</v>
      </c>
      <c r="E17" s="8">
        <f t="shared" si="0"/>
        <v>29780.66</v>
      </c>
      <c r="F17" s="36"/>
      <c r="G17" s="36"/>
    </row>
    <row r="18" spans="1:7" ht="13.5">
      <c r="A18" s="39" t="s">
        <v>65</v>
      </c>
      <c r="B18" s="7" t="s">
        <v>18</v>
      </c>
      <c r="C18" s="6">
        <v>5768.46</v>
      </c>
      <c r="D18" s="6">
        <v>16628.3</v>
      </c>
      <c r="E18" s="8">
        <f t="shared" si="0"/>
        <v>22396.76</v>
      </c>
      <c r="F18" s="36"/>
      <c r="G18" s="36"/>
    </row>
    <row r="19" spans="1:7" ht="13.5">
      <c r="A19" s="39" t="s">
        <v>66</v>
      </c>
      <c r="B19" s="7" t="s">
        <v>19</v>
      </c>
      <c r="C19" s="6">
        <v>2261.34</v>
      </c>
      <c r="D19" s="6">
        <v>6732.93</v>
      </c>
      <c r="E19" s="8">
        <f t="shared" si="0"/>
        <v>8994.27</v>
      </c>
      <c r="F19" s="36"/>
      <c r="G19" s="36"/>
    </row>
    <row r="20" spans="1:7" ht="13.5">
      <c r="A20" s="39" t="s">
        <v>67</v>
      </c>
      <c r="B20" s="7" t="s">
        <v>20</v>
      </c>
      <c r="C20" s="6">
        <v>3840.3</v>
      </c>
      <c r="D20" s="6">
        <v>13365.72</v>
      </c>
      <c r="E20" s="8">
        <f t="shared" si="0"/>
        <v>17206.02</v>
      </c>
      <c r="F20" s="36"/>
      <c r="G20" s="36"/>
    </row>
    <row r="21" spans="1:7" ht="13.5">
      <c r="A21" s="39" t="s">
        <v>68</v>
      </c>
      <c r="B21" s="7" t="s">
        <v>21</v>
      </c>
      <c r="C21" s="6"/>
      <c r="D21" s="6"/>
      <c r="E21" s="8">
        <f t="shared" si="0"/>
        <v>0</v>
      </c>
      <c r="F21" s="36"/>
      <c r="G21" s="36"/>
    </row>
    <row r="22" spans="1:7" ht="13.5">
      <c r="A22" s="39" t="s">
        <v>69</v>
      </c>
      <c r="B22" s="7" t="s">
        <v>22</v>
      </c>
      <c r="C22" s="6"/>
      <c r="D22" s="6"/>
      <c r="E22" s="8">
        <f t="shared" si="0"/>
        <v>0</v>
      </c>
      <c r="F22" s="36"/>
      <c r="G22" s="36"/>
    </row>
    <row r="23" spans="1:7" ht="13.5">
      <c r="A23" s="39" t="s">
        <v>70</v>
      </c>
      <c r="B23" s="7" t="s">
        <v>23</v>
      </c>
      <c r="C23" s="6"/>
      <c r="D23" s="6"/>
      <c r="E23" s="8">
        <f t="shared" si="0"/>
        <v>0</v>
      </c>
      <c r="F23" s="36"/>
      <c r="G23" s="36"/>
    </row>
    <row r="24" spans="1:7" ht="13.5">
      <c r="A24" s="39" t="s">
        <v>71</v>
      </c>
      <c r="B24" s="7" t="s">
        <v>24</v>
      </c>
      <c r="C24" s="6"/>
      <c r="D24" s="6"/>
      <c r="E24" s="8">
        <f t="shared" si="0"/>
        <v>0</v>
      </c>
      <c r="F24" s="36"/>
      <c r="G24" s="36"/>
    </row>
    <row r="25" spans="1:7" ht="13.5">
      <c r="A25" s="39" t="s">
        <v>72</v>
      </c>
      <c r="B25" s="7" t="s">
        <v>25</v>
      </c>
      <c r="C25" s="6">
        <v>3174.31</v>
      </c>
      <c r="D25" s="6">
        <v>14929.64</v>
      </c>
      <c r="E25" s="8">
        <f t="shared" si="0"/>
        <v>18103.95</v>
      </c>
      <c r="F25" s="36"/>
      <c r="G25" s="36"/>
    </row>
    <row r="26" spans="1:7" ht="13.5">
      <c r="A26" s="39" t="s">
        <v>73</v>
      </c>
      <c r="B26" s="7" t="s">
        <v>26</v>
      </c>
      <c r="C26" s="6">
        <f>616.16+609.12+889.02+1251.24</f>
        <v>3365.54</v>
      </c>
      <c r="D26" s="6">
        <f>2468.55+760.4+2805.64+5549.48</f>
        <v>11584.07</v>
      </c>
      <c r="E26" s="8">
        <f t="shared" si="0"/>
        <v>14949.61</v>
      </c>
      <c r="F26" s="36"/>
      <c r="G26" s="36"/>
    </row>
    <row r="27" spans="1:7" ht="13.5">
      <c r="A27" s="39" t="s">
        <v>74</v>
      </c>
      <c r="B27" s="7" t="s">
        <v>27</v>
      </c>
      <c r="C27" s="6">
        <v>262.6</v>
      </c>
      <c r="D27" s="6">
        <v>934.35</v>
      </c>
      <c r="E27" s="8">
        <f t="shared" si="0"/>
        <v>1196.95</v>
      </c>
      <c r="F27" s="36"/>
      <c r="G27" s="36"/>
    </row>
    <row r="28" spans="1:7" ht="13.5">
      <c r="A28" s="39" t="s">
        <v>75</v>
      </c>
      <c r="B28" s="7" t="s">
        <v>28</v>
      </c>
      <c r="C28" s="6">
        <v>262.6</v>
      </c>
      <c r="D28" s="6">
        <v>370.5</v>
      </c>
      <c r="E28" s="8">
        <f t="shared" si="0"/>
        <v>633.1</v>
      </c>
      <c r="F28" s="36"/>
      <c r="G28" s="36"/>
    </row>
    <row r="29" spans="1:7" ht="13.5">
      <c r="A29" s="39" t="s">
        <v>76</v>
      </c>
      <c r="B29" s="7" t="s">
        <v>29</v>
      </c>
      <c r="C29" s="6">
        <f>353.78+2405.09+2324.69</f>
        <v>5083.5599999999995</v>
      </c>
      <c r="D29" s="6">
        <f>1616.42+5540.98+6570.53</f>
        <v>13727.93</v>
      </c>
      <c r="E29" s="8">
        <f t="shared" si="0"/>
        <v>18811.489999999998</v>
      </c>
      <c r="F29" s="36"/>
      <c r="G29" s="36"/>
    </row>
    <row r="30" spans="1:7" ht="13.5">
      <c r="A30" s="39" t="s">
        <v>77</v>
      </c>
      <c r="B30" s="7" t="s">
        <v>30</v>
      </c>
      <c r="C30" s="6"/>
      <c r="D30" s="6"/>
      <c r="E30" s="8">
        <f t="shared" si="0"/>
        <v>0</v>
      </c>
      <c r="F30" s="36"/>
      <c r="G30" s="36"/>
    </row>
    <row r="31" spans="1:7" ht="13.5">
      <c r="A31" s="39" t="s">
        <v>78</v>
      </c>
      <c r="B31" s="7" t="s">
        <v>31</v>
      </c>
      <c r="C31" s="6">
        <v>5603.4</v>
      </c>
      <c r="D31" s="6">
        <v>12734.8</v>
      </c>
      <c r="E31" s="8">
        <f t="shared" si="0"/>
        <v>18338.199999999997</v>
      </c>
      <c r="F31" s="36"/>
      <c r="G31" s="36"/>
    </row>
    <row r="32" spans="1:7" ht="13.5">
      <c r="A32" s="39" t="s">
        <v>79</v>
      </c>
      <c r="B32" s="7" t="s">
        <v>32</v>
      </c>
      <c r="C32" s="6">
        <f>929.98+315.05</f>
        <v>1245.03</v>
      </c>
      <c r="D32" s="6">
        <f>1993.13+1606.22</f>
        <v>3599.3500000000004</v>
      </c>
      <c r="E32" s="8">
        <f t="shared" si="0"/>
        <v>4844.38</v>
      </c>
      <c r="F32" s="36"/>
      <c r="G32" s="36"/>
    </row>
    <row r="33" spans="1:7" ht="13.5">
      <c r="A33" s="39" t="s">
        <v>80</v>
      </c>
      <c r="B33" s="7" t="s">
        <v>33</v>
      </c>
      <c r="C33" s="6"/>
      <c r="D33" s="6"/>
      <c r="E33" s="8">
        <f t="shared" si="0"/>
        <v>0</v>
      </c>
      <c r="F33" s="36"/>
      <c r="G33" s="36"/>
    </row>
    <row r="34" spans="1:7" ht="13.5">
      <c r="A34" s="39" t="s">
        <v>82</v>
      </c>
      <c r="B34" s="7" t="s">
        <v>34</v>
      </c>
      <c r="C34" s="6">
        <f>1184.24+1602.36</f>
        <v>2786.6</v>
      </c>
      <c r="D34" s="6">
        <f>1637.88+10046.73</f>
        <v>11684.61</v>
      </c>
      <c r="E34" s="8">
        <f t="shared" si="0"/>
        <v>14471.210000000001</v>
      </c>
      <c r="F34" s="36"/>
      <c r="G34" s="36"/>
    </row>
    <row r="35" spans="1:7" ht="13.5">
      <c r="A35" s="39" t="s">
        <v>83</v>
      </c>
      <c r="B35" s="7" t="s">
        <v>35</v>
      </c>
      <c r="C35" s="6"/>
      <c r="D35" s="6"/>
      <c r="E35" s="8">
        <f t="shared" si="0"/>
        <v>0</v>
      </c>
      <c r="F35" s="36"/>
      <c r="G35" s="36"/>
    </row>
    <row r="36" spans="1:7" ht="13.5">
      <c r="A36" s="39" t="s">
        <v>84</v>
      </c>
      <c r="B36" s="7" t="s">
        <v>36</v>
      </c>
      <c r="C36" s="6"/>
      <c r="D36" s="6"/>
      <c r="E36" s="8">
        <f t="shared" si="0"/>
        <v>0</v>
      </c>
      <c r="F36" s="36"/>
      <c r="G36" s="36"/>
    </row>
    <row r="37" spans="1:7" ht="13.5">
      <c r="A37" s="39" t="s">
        <v>85</v>
      </c>
      <c r="B37" s="7" t="s">
        <v>89</v>
      </c>
      <c r="C37" s="6">
        <v>329.86</v>
      </c>
      <c r="D37" s="6">
        <v>647.03</v>
      </c>
      <c r="E37" s="8">
        <f t="shared" si="0"/>
        <v>976.89</v>
      </c>
      <c r="F37" s="36"/>
      <c r="G37" s="36"/>
    </row>
    <row r="38" spans="1:7" ht="13.5">
      <c r="A38" s="39" t="s">
        <v>86</v>
      </c>
      <c r="B38" s="7" t="s">
        <v>92</v>
      </c>
      <c r="C38" s="6">
        <f>2915+312.5+1735.28</f>
        <v>4962.78</v>
      </c>
      <c r="D38" s="6">
        <f>6837.81+370.41+1658.12</f>
        <v>8866.34</v>
      </c>
      <c r="E38" s="8">
        <f t="shared" si="0"/>
        <v>13829.119999999999</v>
      </c>
      <c r="F38" s="36"/>
      <c r="G38" s="36"/>
    </row>
    <row r="39" spans="1:7" ht="13.5">
      <c r="A39" s="39" t="s">
        <v>87</v>
      </c>
      <c r="B39" s="7" t="s">
        <v>93</v>
      </c>
      <c r="C39" s="6">
        <v>14496.63</v>
      </c>
      <c r="D39" s="6">
        <v>32930.71</v>
      </c>
      <c r="E39" s="8">
        <f t="shared" si="0"/>
        <v>47427.34</v>
      </c>
      <c r="F39" s="36"/>
      <c r="G39" s="36"/>
    </row>
    <row r="40" spans="1:7" ht="13.5">
      <c r="A40" s="39" t="s">
        <v>88</v>
      </c>
      <c r="B40" s="7" t="s">
        <v>95</v>
      </c>
      <c r="C40" s="6"/>
      <c r="D40" s="6"/>
      <c r="E40" s="8">
        <f t="shared" si="0"/>
        <v>0</v>
      </c>
      <c r="F40" s="36"/>
      <c r="G40" s="36"/>
    </row>
    <row r="41" spans="1:7" ht="13.5">
      <c r="A41" s="39" t="s">
        <v>94</v>
      </c>
      <c r="B41" s="7" t="s">
        <v>98</v>
      </c>
      <c r="C41" s="6"/>
      <c r="D41" s="6"/>
      <c r="E41" s="8">
        <f t="shared" si="0"/>
        <v>0</v>
      </c>
      <c r="F41" s="36"/>
      <c r="G41" s="36"/>
    </row>
    <row r="42" spans="1:7" ht="13.5">
      <c r="A42" s="39" t="s">
        <v>96</v>
      </c>
      <c r="B42" s="7" t="s">
        <v>99</v>
      </c>
      <c r="C42" s="6"/>
      <c r="D42" s="6"/>
      <c r="E42" s="8">
        <f t="shared" si="0"/>
        <v>0</v>
      </c>
      <c r="F42" s="36"/>
      <c r="G42" s="36"/>
    </row>
    <row r="43" spans="1:7" ht="13.5">
      <c r="A43" s="39" t="s">
        <v>100</v>
      </c>
      <c r="B43" s="7" t="s">
        <v>107</v>
      </c>
      <c r="C43" s="6"/>
      <c r="D43" s="6"/>
      <c r="E43" s="8">
        <f t="shared" si="0"/>
        <v>0</v>
      </c>
      <c r="F43" s="36"/>
      <c r="G43" s="36"/>
    </row>
    <row r="44" spans="1:7" ht="13.5">
      <c r="A44" s="52"/>
      <c r="B44" s="7" t="s">
        <v>37</v>
      </c>
      <c r="C44" s="7">
        <f>SUM(C6:C43)</f>
        <v>107858.56000000001</v>
      </c>
      <c r="D44" s="7">
        <f>SUM(D6:D43)</f>
        <v>314092.4600000001</v>
      </c>
      <c r="E44" s="8">
        <f t="shared" si="0"/>
        <v>421951.0200000001</v>
      </c>
      <c r="F44" s="36"/>
      <c r="G44" s="36"/>
    </row>
    <row r="45" spans="1:7" ht="13.5">
      <c r="A45" s="36"/>
      <c r="B45" s="36"/>
      <c r="C45" s="36"/>
      <c r="D45" s="36"/>
      <c r="E45" s="1"/>
      <c r="F45" s="36"/>
      <c r="G45" s="36"/>
    </row>
    <row r="46" spans="1:7" ht="13.5">
      <c r="A46" s="36"/>
      <c r="B46" s="36"/>
      <c r="C46" s="36"/>
      <c r="D46" s="36"/>
      <c r="E46" s="36"/>
      <c r="F46" s="36"/>
      <c r="G46" s="36"/>
    </row>
  </sheetData>
  <mergeCells count="2">
    <mergeCell ref="A4:B4"/>
    <mergeCell ref="A3:G3"/>
  </mergeCells>
  <printOptions/>
  <pageMargins left="0.75" right="0.75" top="1" bottom="1" header="0.5" footer="0.5"/>
  <pageSetup horizontalDpi="300" verticalDpi="300" orientation="portrait" paperSize="9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F47"/>
  <sheetViews>
    <sheetView workbookViewId="0" topLeftCell="A1">
      <selection activeCell="H9" sqref="H9"/>
    </sheetView>
  </sheetViews>
  <sheetFormatPr defaultColWidth="9.140625" defaultRowHeight="12.75"/>
  <cols>
    <col min="2" max="2" width="28.28125" style="0" customWidth="1"/>
    <col min="3" max="3" width="14.140625" style="0" bestFit="1" customWidth="1"/>
    <col min="4" max="4" width="13.421875" style="0" bestFit="1" customWidth="1"/>
  </cols>
  <sheetData>
    <row r="3" spans="1:6" ht="13.5">
      <c r="A3" s="88" t="s">
        <v>123</v>
      </c>
      <c r="B3" s="88"/>
      <c r="C3" s="88"/>
      <c r="D3" s="88"/>
      <c r="E3" s="88"/>
      <c r="F3" s="88"/>
    </row>
    <row r="4" spans="1:6" ht="13.5">
      <c r="A4" s="91"/>
      <c r="B4" s="91"/>
      <c r="C4" s="91"/>
      <c r="D4" s="91"/>
      <c r="E4" s="91"/>
      <c r="F4" s="36"/>
    </row>
    <row r="5" spans="1:6" ht="13.5">
      <c r="A5" s="90"/>
      <c r="B5" s="90"/>
      <c r="C5" s="36"/>
      <c r="D5" s="36"/>
      <c r="E5" s="36"/>
      <c r="F5" s="36"/>
    </row>
    <row r="6" spans="1:6" ht="13.5">
      <c r="A6" s="49" t="s">
        <v>0</v>
      </c>
      <c r="B6" s="49" t="s">
        <v>1</v>
      </c>
      <c r="C6" s="50" t="s">
        <v>48</v>
      </c>
      <c r="D6" s="50" t="s">
        <v>49</v>
      </c>
      <c r="E6" s="36"/>
      <c r="F6" s="36"/>
    </row>
    <row r="7" spans="1:6" ht="13.5">
      <c r="A7" s="39" t="s">
        <v>81</v>
      </c>
      <c r="B7" s="7" t="s">
        <v>6</v>
      </c>
      <c r="C7" s="53">
        <v>6720</v>
      </c>
      <c r="D7" s="7">
        <v>1080</v>
      </c>
      <c r="E7" s="36"/>
      <c r="F7" s="36"/>
    </row>
    <row r="8" spans="1:6" ht="13.5">
      <c r="A8" s="39" t="s">
        <v>54</v>
      </c>
      <c r="B8" s="7" t="s">
        <v>41</v>
      </c>
      <c r="C8" s="53">
        <f>720+1560</f>
        <v>2280</v>
      </c>
      <c r="D8" s="7"/>
      <c r="E8" s="36"/>
      <c r="F8" s="36"/>
    </row>
    <row r="9" spans="1:6" ht="13.5">
      <c r="A9" s="39" t="s">
        <v>55</v>
      </c>
      <c r="B9" s="7" t="s">
        <v>8</v>
      </c>
      <c r="C9" s="53">
        <v>120</v>
      </c>
      <c r="D9" s="7"/>
      <c r="E9" s="36"/>
      <c r="F9" s="36"/>
    </row>
    <row r="10" spans="1:6" ht="13.5">
      <c r="A10" s="39" t="s">
        <v>56</v>
      </c>
      <c r="B10" s="7" t="s">
        <v>9</v>
      </c>
      <c r="C10" s="53">
        <f>120+960</f>
        <v>1080</v>
      </c>
      <c r="D10" s="7"/>
      <c r="E10" s="36"/>
      <c r="F10" s="36"/>
    </row>
    <row r="11" spans="1:6" ht="13.5">
      <c r="A11" s="39" t="s">
        <v>57</v>
      </c>
      <c r="B11" s="7" t="s">
        <v>10</v>
      </c>
      <c r="C11" s="53">
        <v>720</v>
      </c>
      <c r="D11" s="7"/>
      <c r="E11" s="36"/>
      <c r="F11" s="36"/>
    </row>
    <row r="12" spans="1:6" ht="13.5">
      <c r="A12" s="39" t="s">
        <v>58</v>
      </c>
      <c r="B12" s="7" t="s">
        <v>11</v>
      </c>
      <c r="C12" s="53">
        <v>480</v>
      </c>
      <c r="D12" s="7"/>
      <c r="E12" s="36"/>
      <c r="F12" s="36"/>
    </row>
    <row r="13" spans="1:6" ht="13.5">
      <c r="A13" s="39" t="s">
        <v>59</v>
      </c>
      <c r="B13" s="7" t="s">
        <v>12</v>
      </c>
      <c r="C13" s="53">
        <v>1560</v>
      </c>
      <c r="D13" s="7"/>
      <c r="E13" s="36"/>
      <c r="F13" s="36"/>
    </row>
    <row r="14" spans="1:6" ht="13.5">
      <c r="A14" s="39" t="s">
        <v>60</v>
      </c>
      <c r="B14" s="7" t="s">
        <v>13</v>
      </c>
      <c r="C14" s="53">
        <f>960+1320+1560</f>
        <v>3840</v>
      </c>
      <c r="D14" s="7">
        <f>480</f>
        <v>480</v>
      </c>
      <c r="E14" s="36"/>
      <c r="F14" s="36"/>
    </row>
    <row r="15" spans="1:6" ht="13.5">
      <c r="A15" s="39" t="s">
        <v>61</v>
      </c>
      <c r="B15" s="7" t="s">
        <v>14</v>
      </c>
      <c r="C15" s="53">
        <f>720+600+480</f>
        <v>1800</v>
      </c>
      <c r="D15" s="7"/>
      <c r="E15" s="36"/>
      <c r="F15" s="36"/>
    </row>
    <row r="16" spans="1:6" ht="13.5">
      <c r="A16" s="39" t="s">
        <v>62</v>
      </c>
      <c r="B16" s="7" t="s">
        <v>15</v>
      </c>
      <c r="C16" s="53">
        <v>9120</v>
      </c>
      <c r="D16" s="7">
        <v>2520</v>
      </c>
      <c r="E16" s="36"/>
      <c r="F16" s="36"/>
    </row>
    <row r="17" spans="1:6" ht="13.5">
      <c r="A17" s="39" t="s">
        <v>63</v>
      </c>
      <c r="B17" s="7" t="s">
        <v>16</v>
      </c>
      <c r="C17" s="53">
        <f>840+2880</f>
        <v>3720</v>
      </c>
      <c r="D17" s="7"/>
      <c r="E17" s="36"/>
      <c r="F17" s="36"/>
    </row>
    <row r="18" spans="1:6" ht="13.5">
      <c r="A18" s="39" t="s">
        <v>64</v>
      </c>
      <c r="B18" s="7" t="s">
        <v>42</v>
      </c>
      <c r="C18" s="53">
        <f>840+1680+2520</f>
        <v>5040</v>
      </c>
      <c r="D18" s="7"/>
      <c r="E18" s="36"/>
      <c r="F18" s="36"/>
    </row>
    <row r="19" spans="1:6" ht="13.5">
      <c r="A19" s="39" t="s">
        <v>65</v>
      </c>
      <c r="B19" s="7" t="s">
        <v>18</v>
      </c>
      <c r="C19" s="53">
        <v>3120</v>
      </c>
      <c r="D19" s="7">
        <v>420</v>
      </c>
      <c r="E19" s="36"/>
      <c r="F19" s="36"/>
    </row>
    <row r="20" spans="1:6" ht="13.5">
      <c r="A20" s="39" t="s">
        <v>66</v>
      </c>
      <c r="B20" s="7" t="s">
        <v>19</v>
      </c>
      <c r="C20" s="53">
        <v>1560</v>
      </c>
      <c r="D20" s="7"/>
      <c r="E20" s="36"/>
      <c r="F20" s="36"/>
    </row>
    <row r="21" spans="1:6" ht="13.5">
      <c r="A21" s="39" t="s">
        <v>67</v>
      </c>
      <c r="B21" s="7" t="s">
        <v>20</v>
      </c>
      <c r="C21" s="53">
        <v>4680</v>
      </c>
      <c r="D21" s="7"/>
      <c r="E21" s="36"/>
      <c r="F21" s="36"/>
    </row>
    <row r="22" spans="1:6" ht="13.5">
      <c r="A22" s="39" t="s">
        <v>68</v>
      </c>
      <c r="B22" s="7" t="s">
        <v>21</v>
      </c>
      <c r="C22" s="53"/>
      <c r="D22" s="7"/>
      <c r="E22" s="36"/>
      <c r="F22" s="36"/>
    </row>
    <row r="23" spans="1:6" ht="13.5">
      <c r="A23" s="39" t="s">
        <v>69</v>
      </c>
      <c r="B23" s="7" t="s">
        <v>22</v>
      </c>
      <c r="C23" s="53"/>
      <c r="D23" s="7"/>
      <c r="E23" s="36"/>
      <c r="F23" s="36"/>
    </row>
    <row r="24" spans="1:6" ht="13.5">
      <c r="A24" s="39" t="s">
        <v>70</v>
      </c>
      <c r="B24" s="7" t="s">
        <v>23</v>
      </c>
      <c r="C24" s="53"/>
      <c r="D24" s="7"/>
      <c r="E24" s="36"/>
      <c r="F24" s="36"/>
    </row>
    <row r="25" spans="1:6" ht="13.5">
      <c r="A25" s="39" t="s">
        <v>71</v>
      </c>
      <c r="B25" s="7" t="s">
        <v>24</v>
      </c>
      <c r="C25" s="53"/>
      <c r="D25" s="7"/>
      <c r="E25" s="36"/>
      <c r="F25" s="36"/>
    </row>
    <row r="26" spans="1:6" ht="13.5">
      <c r="A26" s="39" t="s">
        <v>72</v>
      </c>
      <c r="B26" s="7" t="s">
        <v>25</v>
      </c>
      <c r="C26" s="53">
        <v>3360</v>
      </c>
      <c r="D26" s="7"/>
      <c r="E26" s="36"/>
      <c r="F26" s="36"/>
    </row>
    <row r="27" spans="1:6" ht="13.5">
      <c r="A27" s="39" t="s">
        <v>73</v>
      </c>
      <c r="B27" s="7" t="s">
        <v>26</v>
      </c>
      <c r="C27" s="53">
        <f>720+120+480+1560</f>
        <v>2880</v>
      </c>
      <c r="D27" s="7"/>
      <c r="E27" s="36"/>
      <c r="F27" s="36"/>
    </row>
    <row r="28" spans="1:6" ht="13.5">
      <c r="A28" s="39" t="s">
        <v>74</v>
      </c>
      <c r="B28" s="7" t="s">
        <v>27</v>
      </c>
      <c r="C28" s="53">
        <v>120</v>
      </c>
      <c r="D28" s="7"/>
      <c r="E28" s="36"/>
      <c r="F28" s="36"/>
    </row>
    <row r="29" spans="1:6" ht="13.5">
      <c r="A29" s="39" t="s">
        <v>75</v>
      </c>
      <c r="B29" s="7" t="s">
        <v>28</v>
      </c>
      <c r="C29" s="53">
        <v>240</v>
      </c>
      <c r="D29" s="7"/>
      <c r="E29" s="36"/>
      <c r="F29" s="36"/>
    </row>
    <row r="30" spans="1:6" ht="13.5">
      <c r="A30" s="39" t="s">
        <v>76</v>
      </c>
      <c r="B30" s="7" t="s">
        <v>29</v>
      </c>
      <c r="C30" s="53">
        <f>480+1560+1920</f>
        <v>3960</v>
      </c>
      <c r="D30" s="7"/>
      <c r="E30" s="36"/>
      <c r="F30" s="36"/>
    </row>
    <row r="31" spans="1:6" ht="13.5">
      <c r="A31" s="39" t="s">
        <v>77</v>
      </c>
      <c r="B31" s="7" t="s">
        <v>30</v>
      </c>
      <c r="C31" s="53"/>
      <c r="D31" s="7"/>
      <c r="E31" s="36"/>
      <c r="F31" s="36"/>
    </row>
    <row r="32" spans="1:6" ht="13.5">
      <c r="A32" s="39" t="s">
        <v>78</v>
      </c>
      <c r="B32" s="7" t="s">
        <v>31</v>
      </c>
      <c r="C32" s="53">
        <v>4080</v>
      </c>
      <c r="D32" s="7">
        <v>900</v>
      </c>
      <c r="E32" s="36"/>
      <c r="F32" s="36"/>
    </row>
    <row r="33" spans="1:6" ht="13.5">
      <c r="A33" s="39" t="s">
        <v>79</v>
      </c>
      <c r="B33" s="7" t="s">
        <v>32</v>
      </c>
      <c r="C33" s="53">
        <f>600+240</f>
        <v>840</v>
      </c>
      <c r="D33" s="7"/>
      <c r="E33" s="36"/>
      <c r="F33" s="36"/>
    </row>
    <row r="34" spans="1:6" ht="13.5">
      <c r="A34" s="39" t="s">
        <v>80</v>
      </c>
      <c r="B34" s="7" t="s">
        <v>33</v>
      </c>
      <c r="C34" s="53"/>
      <c r="D34" s="7"/>
      <c r="E34" s="36"/>
      <c r="F34" s="36"/>
    </row>
    <row r="35" spans="1:6" ht="13.5">
      <c r="A35" s="39" t="s">
        <v>82</v>
      </c>
      <c r="B35" s="7" t="s">
        <v>34</v>
      </c>
      <c r="C35" s="53">
        <f>120+720+1560</f>
        <v>2400</v>
      </c>
      <c r="D35" s="7"/>
      <c r="E35" s="36"/>
      <c r="F35" s="36"/>
    </row>
    <row r="36" spans="1:6" ht="13.5">
      <c r="A36" s="39" t="s">
        <v>83</v>
      </c>
      <c r="B36" s="7" t="s">
        <v>35</v>
      </c>
      <c r="C36" s="53"/>
      <c r="D36" s="7"/>
      <c r="E36" s="36"/>
      <c r="F36" s="36"/>
    </row>
    <row r="37" spans="1:6" ht="13.5">
      <c r="A37" s="39" t="s">
        <v>84</v>
      </c>
      <c r="B37" s="7" t="s">
        <v>36</v>
      </c>
      <c r="C37" s="53">
        <v>240</v>
      </c>
      <c r="D37" s="7">
        <v>480</v>
      </c>
      <c r="E37" s="36"/>
      <c r="F37" s="36"/>
    </row>
    <row r="38" spans="1:6" ht="13.5">
      <c r="A38" s="39" t="s">
        <v>85</v>
      </c>
      <c r="B38" s="7" t="s">
        <v>89</v>
      </c>
      <c r="C38" s="53">
        <v>120</v>
      </c>
      <c r="D38" s="7"/>
      <c r="E38" s="36"/>
      <c r="F38" s="36"/>
    </row>
    <row r="39" spans="1:6" ht="13.5">
      <c r="A39" s="39" t="s">
        <v>86</v>
      </c>
      <c r="B39" s="7" t="s">
        <v>92</v>
      </c>
      <c r="C39" s="53">
        <f>1800+120+360</f>
        <v>2280</v>
      </c>
      <c r="D39" s="7"/>
      <c r="E39" s="36"/>
      <c r="F39" s="36"/>
    </row>
    <row r="40" spans="1:6" ht="13.5">
      <c r="A40" s="39" t="s">
        <v>87</v>
      </c>
      <c r="B40" s="7" t="s">
        <v>93</v>
      </c>
      <c r="C40" s="53">
        <v>7320</v>
      </c>
      <c r="D40" s="7"/>
      <c r="E40" s="36"/>
      <c r="F40" s="36"/>
    </row>
    <row r="41" spans="1:6" ht="13.5">
      <c r="A41" s="39" t="s">
        <v>88</v>
      </c>
      <c r="B41" s="7" t="s">
        <v>95</v>
      </c>
      <c r="C41" s="44"/>
      <c r="D41" s="6"/>
      <c r="E41" s="36"/>
      <c r="F41" s="36"/>
    </row>
    <row r="42" spans="1:6" ht="13.5">
      <c r="A42" s="39" t="s">
        <v>94</v>
      </c>
      <c r="B42" s="7" t="s">
        <v>98</v>
      </c>
      <c r="C42" s="53"/>
      <c r="D42" s="6"/>
      <c r="E42" s="36"/>
      <c r="F42" s="36"/>
    </row>
    <row r="43" spans="1:6" ht="13.5">
      <c r="A43" s="39" t="s">
        <v>96</v>
      </c>
      <c r="B43" s="7" t="s">
        <v>99</v>
      </c>
      <c r="C43" s="53"/>
      <c r="D43" s="6"/>
      <c r="E43" s="36"/>
      <c r="F43" s="36"/>
    </row>
    <row r="44" spans="1:6" ht="13.5">
      <c r="A44" s="39" t="s">
        <v>100</v>
      </c>
      <c r="B44" s="7" t="s">
        <v>107</v>
      </c>
      <c r="C44" s="53"/>
      <c r="D44" s="6"/>
      <c r="E44" s="36"/>
      <c r="F44" s="36"/>
    </row>
    <row r="45" spans="1:6" ht="13.5">
      <c r="A45" s="52"/>
      <c r="B45" s="7" t="s">
        <v>37</v>
      </c>
      <c r="C45" s="53">
        <f>SUM(C7:C44)</f>
        <v>73680</v>
      </c>
      <c r="D45" s="53">
        <f>SUM(D7:D44)</f>
        <v>5880</v>
      </c>
      <c r="E45" s="1"/>
      <c r="F45" s="36"/>
    </row>
    <row r="46" spans="1:6" ht="13.5">
      <c r="A46" s="36"/>
      <c r="B46" s="36"/>
      <c r="C46" s="1"/>
      <c r="D46" s="36"/>
      <c r="E46" s="36"/>
      <c r="F46" s="36"/>
    </row>
    <row r="47" spans="1:6" ht="13.5">
      <c r="A47" s="36"/>
      <c r="B47" s="36"/>
      <c r="C47" s="36"/>
      <c r="D47" s="36"/>
      <c r="E47" s="36"/>
      <c r="F47" s="36"/>
    </row>
  </sheetData>
  <mergeCells count="3">
    <mergeCell ref="A4:E4"/>
    <mergeCell ref="A5:B5"/>
    <mergeCell ref="A3:F3"/>
  </mergeCells>
  <printOptions/>
  <pageMargins left="0.75" right="0.75" top="1" bottom="1" header="0.5" footer="0.5"/>
  <pageSetup horizontalDpi="300" verticalDpi="3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I49"/>
  <sheetViews>
    <sheetView view="pageBreakPreview" zoomScale="60" workbookViewId="0" topLeftCell="A1">
      <selection activeCell="Q26" sqref="Q26"/>
    </sheetView>
  </sheetViews>
  <sheetFormatPr defaultColWidth="9.140625" defaultRowHeight="12.75"/>
  <cols>
    <col min="2" max="2" width="28.7109375" style="0" bestFit="1" customWidth="1"/>
    <col min="3" max="3" width="16.8515625" style="0" customWidth="1"/>
  </cols>
  <sheetData>
    <row r="3" spans="1:9" ht="13.5">
      <c r="A3" s="88" t="s">
        <v>119</v>
      </c>
      <c r="B3" s="88"/>
      <c r="C3" s="88"/>
      <c r="D3" s="88"/>
      <c r="E3" s="88"/>
      <c r="F3" s="88"/>
      <c r="G3" s="88"/>
      <c r="H3" s="88"/>
      <c r="I3" s="88"/>
    </row>
    <row r="4" spans="1:9" ht="13.5">
      <c r="A4" s="36"/>
      <c r="B4" s="36"/>
      <c r="C4" s="38"/>
      <c r="D4" s="1"/>
      <c r="E4" s="1"/>
      <c r="F4" s="1"/>
      <c r="G4" s="1"/>
      <c r="H4" s="36"/>
      <c r="I4" s="36"/>
    </row>
    <row r="5" spans="1:9" ht="27">
      <c r="A5" s="49" t="s">
        <v>0</v>
      </c>
      <c r="B5" s="49" t="s">
        <v>1</v>
      </c>
      <c r="C5" s="51" t="s">
        <v>102</v>
      </c>
      <c r="D5" s="45"/>
      <c r="E5" s="12"/>
      <c r="F5" s="1"/>
      <c r="G5" s="1"/>
      <c r="H5" s="36"/>
      <c r="I5" s="36"/>
    </row>
    <row r="6" spans="1:9" ht="13.5">
      <c r="A6" s="39" t="s">
        <v>81</v>
      </c>
      <c r="B6" s="7" t="s">
        <v>6</v>
      </c>
      <c r="C6" s="8"/>
      <c r="D6" s="46"/>
      <c r="E6" s="12"/>
      <c r="F6" s="1"/>
      <c r="G6" s="1"/>
      <c r="H6" s="36"/>
      <c r="I6" s="36"/>
    </row>
    <row r="7" spans="1:9" ht="13.5">
      <c r="A7" s="39" t="s">
        <v>54</v>
      </c>
      <c r="B7" s="7" t="s">
        <v>41</v>
      </c>
      <c r="C7" s="8"/>
      <c r="D7" s="46"/>
      <c r="E7" s="12"/>
      <c r="F7" s="1"/>
      <c r="G7" s="1"/>
      <c r="H7" s="36"/>
      <c r="I7" s="36"/>
    </row>
    <row r="8" spans="1:9" ht="13.5">
      <c r="A8" s="39" t="s">
        <v>55</v>
      </c>
      <c r="B8" s="7" t="s">
        <v>8</v>
      </c>
      <c r="C8" s="8"/>
      <c r="D8" s="46"/>
      <c r="E8" s="12"/>
      <c r="F8" s="1"/>
      <c r="G8" s="1"/>
      <c r="H8" s="36"/>
      <c r="I8" s="36"/>
    </row>
    <row r="9" spans="1:9" ht="13.5">
      <c r="A9" s="39" t="s">
        <v>56</v>
      </c>
      <c r="B9" s="7" t="s">
        <v>9</v>
      </c>
      <c r="C9" s="8"/>
      <c r="D9" s="46"/>
      <c r="E9" s="12"/>
      <c r="F9" s="1"/>
      <c r="G9" s="1"/>
      <c r="H9" s="36"/>
      <c r="I9" s="36"/>
    </row>
    <row r="10" spans="1:9" ht="13.5">
      <c r="A10" s="39" t="s">
        <v>57</v>
      </c>
      <c r="B10" s="7" t="s">
        <v>10</v>
      </c>
      <c r="C10" s="8"/>
      <c r="D10" s="46"/>
      <c r="E10" s="12"/>
      <c r="F10" s="1"/>
      <c r="G10" s="1"/>
      <c r="H10" s="36"/>
      <c r="I10" s="36"/>
    </row>
    <row r="11" spans="1:9" ht="13.5">
      <c r="A11" s="39" t="s">
        <v>58</v>
      </c>
      <c r="B11" s="7" t="s">
        <v>11</v>
      </c>
      <c r="C11" s="8"/>
      <c r="D11" s="46"/>
      <c r="E11" s="12"/>
      <c r="F11" s="1"/>
      <c r="G11" s="1"/>
      <c r="H11" s="36"/>
      <c r="I11" s="36"/>
    </row>
    <row r="12" spans="1:9" ht="13.5">
      <c r="A12" s="39" t="s">
        <v>59</v>
      </c>
      <c r="B12" s="7" t="s">
        <v>12</v>
      </c>
      <c r="C12" s="8">
        <v>30331.98</v>
      </c>
      <c r="D12" s="46"/>
      <c r="E12" s="12"/>
      <c r="F12" s="1"/>
      <c r="G12" s="1"/>
      <c r="H12" s="36"/>
      <c r="I12" s="36"/>
    </row>
    <row r="13" spans="1:9" ht="13.5">
      <c r="A13" s="39" t="s">
        <v>60</v>
      </c>
      <c r="B13" s="7" t="s">
        <v>13</v>
      </c>
      <c r="C13" s="8"/>
      <c r="D13" s="46"/>
      <c r="E13" s="12"/>
      <c r="F13" s="1"/>
      <c r="G13" s="1"/>
      <c r="H13" s="36"/>
      <c r="I13" s="36"/>
    </row>
    <row r="14" spans="1:9" ht="13.5">
      <c r="A14" s="39" t="s">
        <v>61</v>
      </c>
      <c r="B14" s="7" t="s">
        <v>14</v>
      </c>
      <c r="C14" s="8"/>
      <c r="D14" s="46"/>
      <c r="E14" s="12"/>
      <c r="F14" s="1"/>
      <c r="G14" s="1"/>
      <c r="H14" s="36"/>
      <c r="I14" s="36"/>
    </row>
    <row r="15" spans="1:9" ht="13.5">
      <c r="A15" s="39" t="s">
        <v>62</v>
      </c>
      <c r="B15" s="7" t="s">
        <v>15</v>
      </c>
      <c r="C15" s="8"/>
      <c r="D15" s="46"/>
      <c r="E15" s="12"/>
      <c r="F15" s="1"/>
      <c r="G15" s="1"/>
      <c r="H15" s="36"/>
      <c r="I15" s="36"/>
    </row>
    <row r="16" spans="1:9" ht="13.5">
      <c r="A16" s="39" t="s">
        <v>63</v>
      </c>
      <c r="B16" s="7" t="s">
        <v>16</v>
      </c>
      <c r="C16" s="8"/>
      <c r="D16" s="46"/>
      <c r="E16" s="12"/>
      <c r="F16" s="1"/>
      <c r="G16" s="1"/>
      <c r="H16" s="36"/>
      <c r="I16" s="36"/>
    </row>
    <row r="17" spans="1:9" ht="13.5">
      <c r="A17" s="39" t="s">
        <v>64</v>
      </c>
      <c r="B17" s="7" t="s">
        <v>42</v>
      </c>
      <c r="C17" s="8"/>
      <c r="D17" s="46"/>
      <c r="E17" s="12"/>
      <c r="F17" s="1"/>
      <c r="G17" s="1"/>
      <c r="H17" s="36"/>
      <c r="I17" s="36"/>
    </row>
    <row r="18" spans="1:9" ht="13.5">
      <c r="A18" s="39" t="s">
        <v>65</v>
      </c>
      <c r="B18" s="7" t="s">
        <v>18</v>
      </c>
      <c r="C18" s="8"/>
      <c r="D18" s="46"/>
      <c r="E18" s="12"/>
      <c r="F18" s="1"/>
      <c r="G18" s="1"/>
      <c r="H18" s="36"/>
      <c r="I18" s="36"/>
    </row>
    <row r="19" spans="1:9" ht="13.5">
      <c r="A19" s="39" t="s">
        <v>66</v>
      </c>
      <c r="B19" s="7" t="s">
        <v>19</v>
      </c>
      <c r="C19" s="8"/>
      <c r="D19" s="46"/>
      <c r="E19" s="12"/>
      <c r="F19" s="1"/>
      <c r="G19" s="1"/>
      <c r="H19" s="36"/>
      <c r="I19" s="36"/>
    </row>
    <row r="20" spans="1:9" ht="13.5">
      <c r="A20" s="39" t="s">
        <v>67</v>
      </c>
      <c r="B20" s="7" t="s">
        <v>20</v>
      </c>
      <c r="C20" s="8"/>
      <c r="D20" s="46"/>
      <c r="E20" s="12"/>
      <c r="F20" s="1"/>
      <c r="G20" s="1"/>
      <c r="H20" s="36"/>
      <c r="I20" s="36"/>
    </row>
    <row r="21" spans="1:9" ht="13.5">
      <c r="A21" s="39" t="s">
        <v>68</v>
      </c>
      <c r="B21" s="7" t="s">
        <v>21</v>
      </c>
      <c r="C21" s="8"/>
      <c r="D21" s="46"/>
      <c r="E21" s="12"/>
      <c r="F21" s="1"/>
      <c r="G21" s="1"/>
      <c r="H21" s="36"/>
      <c r="I21" s="36"/>
    </row>
    <row r="22" spans="1:9" ht="13.5">
      <c r="A22" s="39" t="s">
        <v>69</v>
      </c>
      <c r="B22" s="7" t="s">
        <v>22</v>
      </c>
      <c r="C22" s="8"/>
      <c r="D22" s="46"/>
      <c r="E22" s="12"/>
      <c r="F22" s="1"/>
      <c r="G22" s="1"/>
      <c r="H22" s="36"/>
      <c r="I22" s="36"/>
    </row>
    <row r="23" spans="1:9" ht="13.5">
      <c r="A23" s="39" t="s">
        <v>70</v>
      </c>
      <c r="B23" s="7" t="s">
        <v>23</v>
      </c>
      <c r="C23" s="8"/>
      <c r="D23" s="46"/>
      <c r="E23" s="12"/>
      <c r="F23" s="1"/>
      <c r="G23" s="1"/>
      <c r="H23" s="36"/>
      <c r="I23" s="36"/>
    </row>
    <row r="24" spans="1:9" ht="13.5">
      <c r="A24" s="39" t="s">
        <v>71</v>
      </c>
      <c r="B24" s="7" t="s">
        <v>24</v>
      </c>
      <c r="C24" s="8"/>
      <c r="D24" s="46"/>
      <c r="E24" s="12"/>
      <c r="F24" s="1"/>
      <c r="G24" s="1"/>
      <c r="H24" s="36"/>
      <c r="I24" s="36"/>
    </row>
    <row r="25" spans="1:9" ht="13.5">
      <c r="A25" s="39" t="s">
        <v>72</v>
      </c>
      <c r="B25" s="7" t="s">
        <v>25</v>
      </c>
      <c r="C25" s="8"/>
      <c r="D25" s="46"/>
      <c r="E25" s="12"/>
      <c r="F25" s="1"/>
      <c r="G25" s="1"/>
      <c r="H25" s="36"/>
      <c r="I25" s="36"/>
    </row>
    <row r="26" spans="1:9" ht="13.5">
      <c r="A26" s="39" t="s">
        <v>73</v>
      </c>
      <c r="B26" s="7" t="s">
        <v>26</v>
      </c>
      <c r="C26" s="8"/>
      <c r="D26" s="46"/>
      <c r="E26" s="12"/>
      <c r="F26" s="1"/>
      <c r="G26" s="1"/>
      <c r="H26" s="36"/>
      <c r="I26" s="36"/>
    </row>
    <row r="27" spans="1:9" ht="13.5">
      <c r="A27" s="39" t="s">
        <v>74</v>
      </c>
      <c r="B27" s="7" t="s">
        <v>27</v>
      </c>
      <c r="C27" s="8"/>
      <c r="D27" s="46"/>
      <c r="E27" s="12"/>
      <c r="F27" s="1"/>
      <c r="G27" s="1"/>
      <c r="H27" s="36"/>
      <c r="I27" s="36"/>
    </row>
    <row r="28" spans="1:9" ht="13.5">
      <c r="A28" s="39" t="s">
        <v>75</v>
      </c>
      <c r="B28" s="7" t="s">
        <v>28</v>
      </c>
      <c r="C28" s="8"/>
      <c r="D28" s="46"/>
      <c r="E28" s="12"/>
      <c r="F28" s="1"/>
      <c r="G28" s="1"/>
      <c r="H28" s="36"/>
      <c r="I28" s="36"/>
    </row>
    <row r="29" spans="1:9" ht="13.5">
      <c r="A29" s="39" t="s">
        <v>76</v>
      </c>
      <c r="B29" s="7" t="s">
        <v>29</v>
      </c>
      <c r="C29" s="8"/>
      <c r="D29" s="46"/>
      <c r="E29" s="12"/>
      <c r="F29" s="1"/>
      <c r="G29" s="1"/>
      <c r="H29" s="36"/>
      <c r="I29" s="36"/>
    </row>
    <row r="30" spans="1:9" ht="13.5">
      <c r="A30" s="39" t="s">
        <v>77</v>
      </c>
      <c r="B30" s="7" t="s">
        <v>30</v>
      </c>
      <c r="C30" s="8"/>
      <c r="D30" s="46"/>
      <c r="E30" s="12"/>
      <c r="F30" s="1"/>
      <c r="G30" s="1"/>
      <c r="H30" s="36"/>
      <c r="I30" s="36"/>
    </row>
    <row r="31" spans="1:9" ht="13.5">
      <c r="A31" s="39" t="s">
        <v>78</v>
      </c>
      <c r="B31" s="7" t="s">
        <v>31</v>
      </c>
      <c r="C31" s="8"/>
      <c r="D31" s="46"/>
      <c r="E31" s="12"/>
      <c r="F31" s="1"/>
      <c r="G31" s="1"/>
      <c r="H31" s="36"/>
      <c r="I31" s="36"/>
    </row>
    <row r="32" spans="1:9" ht="13.5">
      <c r="A32" s="39" t="s">
        <v>79</v>
      </c>
      <c r="B32" s="7" t="s">
        <v>32</v>
      </c>
      <c r="C32" s="8"/>
      <c r="D32" s="46"/>
      <c r="E32" s="12"/>
      <c r="F32" s="1"/>
      <c r="G32" s="1"/>
      <c r="H32" s="36"/>
      <c r="I32" s="36"/>
    </row>
    <row r="33" spans="1:9" ht="13.5">
      <c r="A33" s="39" t="s">
        <v>80</v>
      </c>
      <c r="B33" s="7" t="s">
        <v>33</v>
      </c>
      <c r="C33" s="8"/>
      <c r="D33" s="46"/>
      <c r="E33" s="12"/>
      <c r="F33" s="1"/>
      <c r="G33" s="1"/>
      <c r="H33" s="36"/>
      <c r="I33" s="36"/>
    </row>
    <row r="34" spans="1:9" ht="13.5">
      <c r="A34" s="39" t="s">
        <v>82</v>
      </c>
      <c r="B34" s="7" t="s">
        <v>34</v>
      </c>
      <c r="C34" s="8">
        <v>14853.26</v>
      </c>
      <c r="D34" s="46"/>
      <c r="E34" s="12"/>
      <c r="F34" s="1"/>
      <c r="G34" s="1"/>
      <c r="H34" s="36"/>
      <c r="I34" s="36"/>
    </row>
    <row r="35" spans="1:9" ht="13.5">
      <c r="A35" s="39" t="s">
        <v>83</v>
      </c>
      <c r="B35" s="7" t="s">
        <v>35</v>
      </c>
      <c r="C35" s="8"/>
      <c r="D35" s="46"/>
      <c r="E35" s="12"/>
      <c r="F35" s="1"/>
      <c r="G35" s="1"/>
      <c r="H35" s="36"/>
      <c r="I35" s="36"/>
    </row>
    <row r="36" spans="1:9" ht="13.5">
      <c r="A36" s="39" t="s">
        <v>84</v>
      </c>
      <c r="B36" s="7" t="s">
        <v>36</v>
      </c>
      <c r="C36" s="8"/>
      <c r="D36" s="46"/>
      <c r="E36" s="12"/>
      <c r="F36" s="1"/>
      <c r="G36" s="1"/>
      <c r="H36" s="36"/>
      <c r="I36" s="36"/>
    </row>
    <row r="37" spans="1:9" ht="13.5">
      <c r="A37" s="39" t="s">
        <v>85</v>
      </c>
      <c r="B37" s="7" t="s">
        <v>89</v>
      </c>
      <c r="C37" s="8"/>
      <c r="D37" s="46"/>
      <c r="E37" s="12"/>
      <c r="F37" s="1"/>
      <c r="G37" s="1"/>
      <c r="H37" s="36"/>
      <c r="I37" s="36"/>
    </row>
    <row r="38" spans="1:9" ht="13.5">
      <c r="A38" s="39" t="s">
        <v>86</v>
      </c>
      <c r="B38" s="7" t="s">
        <v>92</v>
      </c>
      <c r="C38" s="8"/>
      <c r="D38" s="46"/>
      <c r="E38" s="12"/>
      <c r="F38" s="1"/>
      <c r="G38" s="1"/>
      <c r="H38" s="36"/>
      <c r="I38" s="36"/>
    </row>
    <row r="39" spans="1:9" ht="13.5">
      <c r="A39" s="39" t="s">
        <v>87</v>
      </c>
      <c r="B39" s="7" t="s">
        <v>93</v>
      </c>
      <c r="C39" s="8"/>
      <c r="D39" s="46"/>
      <c r="E39" s="12"/>
      <c r="F39" s="1"/>
      <c r="G39" s="1"/>
      <c r="H39" s="36"/>
      <c r="I39" s="36"/>
    </row>
    <row r="40" spans="1:9" ht="13.5">
      <c r="A40" s="39" t="s">
        <v>88</v>
      </c>
      <c r="B40" s="7" t="s">
        <v>95</v>
      </c>
      <c r="C40" s="8"/>
      <c r="D40" s="46"/>
      <c r="E40" s="12"/>
      <c r="F40" s="1"/>
      <c r="G40" s="1"/>
      <c r="H40" s="36"/>
      <c r="I40" s="36"/>
    </row>
    <row r="41" spans="1:9" ht="13.5">
      <c r="A41" s="39" t="s">
        <v>94</v>
      </c>
      <c r="B41" s="7" t="s">
        <v>98</v>
      </c>
      <c r="C41" s="8"/>
      <c r="D41" s="46"/>
      <c r="E41" s="12"/>
      <c r="F41" s="1"/>
      <c r="G41" s="1"/>
      <c r="H41" s="36"/>
      <c r="I41" s="36"/>
    </row>
    <row r="42" spans="1:9" ht="13.5">
      <c r="A42" s="60" t="s">
        <v>96</v>
      </c>
      <c r="B42" s="58" t="s">
        <v>99</v>
      </c>
      <c r="C42" s="8"/>
      <c r="D42" s="46"/>
      <c r="E42" s="12"/>
      <c r="F42" s="1"/>
      <c r="G42" s="1"/>
      <c r="H42" s="36"/>
      <c r="I42" s="36"/>
    </row>
    <row r="43" spans="1:9" ht="14.25" thickBot="1">
      <c r="A43" s="60" t="s">
        <v>100</v>
      </c>
      <c r="B43" s="58" t="s">
        <v>107</v>
      </c>
      <c r="C43" s="57"/>
      <c r="D43" s="46"/>
      <c r="E43" s="12"/>
      <c r="F43" s="1"/>
      <c r="G43" s="1"/>
      <c r="H43" s="36"/>
      <c r="I43" s="36"/>
    </row>
    <row r="44" spans="1:9" ht="14.25" thickBot="1">
      <c r="A44" s="54"/>
      <c r="B44" s="55" t="s">
        <v>37</v>
      </c>
      <c r="C44" s="56">
        <f>SUM(C6:C43)</f>
        <v>45185.24</v>
      </c>
      <c r="D44" s="12"/>
      <c r="E44" s="12"/>
      <c r="F44" s="1"/>
      <c r="G44" s="1"/>
      <c r="H44" s="36"/>
      <c r="I44" s="36"/>
    </row>
    <row r="45" spans="1:9" ht="13.5">
      <c r="A45" s="36"/>
      <c r="B45" s="36"/>
      <c r="C45" s="38"/>
      <c r="D45" s="1"/>
      <c r="E45" s="1"/>
      <c r="F45" s="1"/>
      <c r="G45" s="1"/>
      <c r="H45" s="36"/>
      <c r="I45" s="36"/>
    </row>
    <row r="46" spans="1:9" ht="13.5">
      <c r="A46" s="36"/>
      <c r="B46" s="36"/>
      <c r="C46" s="38"/>
      <c r="D46" s="1"/>
      <c r="E46" s="1"/>
      <c r="F46" s="1"/>
      <c r="G46" s="1"/>
      <c r="H46" s="36"/>
      <c r="I46" s="36"/>
    </row>
    <row r="47" spans="1:9" ht="13.5">
      <c r="A47" s="36"/>
      <c r="B47" s="36"/>
      <c r="C47" s="36"/>
      <c r="D47" s="36"/>
      <c r="E47" s="36"/>
      <c r="F47" s="36"/>
      <c r="G47" s="36"/>
      <c r="H47" s="36"/>
      <c r="I47" s="36"/>
    </row>
    <row r="48" spans="1:9" ht="13.5">
      <c r="A48" s="36"/>
      <c r="B48" s="36"/>
      <c r="C48" s="36"/>
      <c r="D48" s="36"/>
      <c r="E48" s="36"/>
      <c r="F48" s="36"/>
      <c r="G48" s="36"/>
      <c r="H48" s="36"/>
      <c r="I48" s="36"/>
    </row>
    <row r="49" spans="1:9" ht="13.5">
      <c r="A49" s="36"/>
      <c r="B49" s="36"/>
      <c r="C49" s="36"/>
      <c r="D49" s="36"/>
      <c r="E49" s="36"/>
      <c r="F49" s="36"/>
      <c r="G49" s="36"/>
      <c r="H49" s="36"/>
      <c r="I49" s="36"/>
    </row>
  </sheetData>
  <mergeCells count="1">
    <mergeCell ref="A3:I3"/>
  </mergeCells>
  <printOptions/>
  <pageMargins left="0.75" right="0.75" top="1" bottom="1" header="0.5" footer="0.5"/>
  <pageSetup horizontalDpi="600" verticalDpi="600" orientation="portrait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J49"/>
  <sheetViews>
    <sheetView workbookViewId="0" topLeftCell="A1">
      <selection activeCell="E9" sqref="E9"/>
    </sheetView>
  </sheetViews>
  <sheetFormatPr defaultColWidth="9.140625" defaultRowHeight="12.75"/>
  <cols>
    <col min="2" max="2" width="28.8515625" style="0" customWidth="1"/>
    <col min="3" max="3" width="16.28125" style="0" customWidth="1"/>
  </cols>
  <sheetData>
    <row r="3" spans="1:9" ht="13.5">
      <c r="A3" s="88" t="s">
        <v>124</v>
      </c>
      <c r="B3" s="88"/>
      <c r="C3" s="88"/>
      <c r="D3" s="88"/>
      <c r="E3" s="88"/>
      <c r="F3" s="88"/>
      <c r="G3" s="88"/>
      <c r="H3" s="88"/>
      <c r="I3" s="88"/>
    </row>
    <row r="4" spans="1:9" ht="13.5">
      <c r="A4" s="36"/>
      <c r="B4" s="36"/>
      <c r="C4" s="38"/>
      <c r="D4" s="1"/>
      <c r="E4" s="1"/>
      <c r="F4" s="1"/>
      <c r="G4" s="1"/>
      <c r="H4" s="36"/>
      <c r="I4" s="36"/>
    </row>
    <row r="5" spans="1:9" ht="27">
      <c r="A5" s="49" t="s">
        <v>0</v>
      </c>
      <c r="B5" s="49" t="s">
        <v>1</v>
      </c>
      <c r="C5" s="51" t="s">
        <v>51</v>
      </c>
      <c r="D5" s="45"/>
      <c r="E5" s="12"/>
      <c r="F5" s="1"/>
      <c r="G5" s="1"/>
      <c r="H5" s="36"/>
      <c r="I5" s="36"/>
    </row>
    <row r="6" spans="1:9" ht="13.5">
      <c r="A6" s="39" t="s">
        <v>81</v>
      </c>
      <c r="B6" s="7" t="s">
        <v>6</v>
      </c>
      <c r="C6" s="8">
        <v>25462.51</v>
      </c>
      <c r="D6" s="46"/>
      <c r="E6" s="12"/>
      <c r="F6" s="1"/>
      <c r="G6" s="1"/>
      <c r="H6" s="36"/>
      <c r="I6" s="36"/>
    </row>
    <row r="7" spans="1:9" ht="13.5">
      <c r="A7" s="39" t="s">
        <v>54</v>
      </c>
      <c r="B7" s="7" t="s">
        <v>41</v>
      </c>
      <c r="C7" s="8"/>
      <c r="D7" s="46"/>
      <c r="E7" s="12"/>
      <c r="F7" s="1"/>
      <c r="G7" s="1"/>
      <c r="H7" s="36"/>
      <c r="I7" s="36"/>
    </row>
    <row r="8" spans="1:9" ht="13.5">
      <c r="A8" s="39" t="s">
        <v>55</v>
      </c>
      <c r="B8" s="7" t="s">
        <v>8</v>
      </c>
      <c r="C8" s="8">
        <v>154.91</v>
      </c>
      <c r="D8" s="46"/>
      <c r="E8" s="12"/>
      <c r="F8" s="1"/>
      <c r="G8" s="1"/>
      <c r="H8" s="36"/>
      <c r="I8" s="36"/>
    </row>
    <row r="9" spans="1:9" ht="13.5">
      <c r="A9" s="39" t="s">
        <v>56</v>
      </c>
      <c r="B9" s="7" t="s">
        <v>9</v>
      </c>
      <c r="C9" s="8"/>
      <c r="D9" s="46"/>
      <c r="E9" s="12"/>
      <c r="F9" s="1"/>
      <c r="G9" s="1"/>
      <c r="H9" s="36"/>
      <c r="I9" s="36"/>
    </row>
    <row r="10" spans="1:9" ht="13.5">
      <c r="A10" s="39" t="s">
        <v>57</v>
      </c>
      <c r="B10" s="7" t="s">
        <v>10</v>
      </c>
      <c r="C10" s="8"/>
      <c r="D10" s="46"/>
      <c r="E10" s="12"/>
      <c r="F10" s="1"/>
      <c r="G10" s="1"/>
      <c r="H10" s="36"/>
      <c r="I10" s="36"/>
    </row>
    <row r="11" spans="1:9" ht="13.5">
      <c r="A11" s="39" t="s">
        <v>58</v>
      </c>
      <c r="B11" s="7" t="s">
        <v>11</v>
      </c>
      <c r="C11" s="8">
        <v>1183.74</v>
      </c>
      <c r="D11" s="46"/>
      <c r="E11" s="12"/>
      <c r="F11" s="1"/>
      <c r="G11" s="1"/>
      <c r="H11" s="36"/>
      <c r="I11" s="36"/>
    </row>
    <row r="12" spans="1:9" ht="13.5">
      <c r="A12" s="39" t="s">
        <v>59</v>
      </c>
      <c r="B12" s="7" t="s">
        <v>12</v>
      </c>
      <c r="C12" s="8">
        <v>309.8</v>
      </c>
      <c r="D12" s="46"/>
      <c r="E12" s="12"/>
      <c r="F12" s="1"/>
      <c r="G12" s="1"/>
      <c r="H12" s="36"/>
      <c r="I12" s="36"/>
    </row>
    <row r="13" spans="1:9" ht="13.5">
      <c r="A13" s="39" t="s">
        <v>60</v>
      </c>
      <c r="B13" s="7" t="s">
        <v>13</v>
      </c>
      <c r="C13" s="8"/>
      <c r="D13" s="46"/>
      <c r="E13" s="12"/>
      <c r="F13" s="1"/>
      <c r="G13" s="1"/>
      <c r="H13" s="36"/>
      <c r="I13" s="36"/>
    </row>
    <row r="14" spans="1:9" ht="13.5">
      <c r="A14" s="39" t="s">
        <v>61</v>
      </c>
      <c r="B14" s="7" t="s">
        <v>14</v>
      </c>
      <c r="C14" s="8">
        <f>314.28+3577.28+272.27</f>
        <v>4163.83</v>
      </c>
      <c r="D14" s="46"/>
      <c r="E14" s="12"/>
      <c r="F14" s="1"/>
      <c r="G14" s="1"/>
      <c r="H14" s="36"/>
      <c r="I14" s="36"/>
    </row>
    <row r="15" spans="1:9" ht="13.5">
      <c r="A15" s="39" t="s">
        <v>62</v>
      </c>
      <c r="B15" s="7" t="s">
        <v>15</v>
      </c>
      <c r="C15" s="8">
        <v>60451.93</v>
      </c>
      <c r="D15" s="46"/>
      <c r="E15" s="12"/>
      <c r="F15" s="1"/>
      <c r="G15" s="1"/>
      <c r="H15" s="36"/>
      <c r="I15" s="36"/>
    </row>
    <row r="16" spans="1:9" ht="13.5">
      <c r="A16" s="39" t="s">
        <v>63</v>
      </c>
      <c r="B16" s="7" t="s">
        <v>16</v>
      </c>
      <c r="C16" s="8">
        <v>535.8</v>
      </c>
      <c r="D16" s="46"/>
      <c r="E16" s="12"/>
      <c r="F16" s="1"/>
      <c r="G16" s="1"/>
      <c r="H16" s="36"/>
      <c r="I16" s="36"/>
    </row>
    <row r="17" spans="1:9" ht="13.5">
      <c r="A17" s="39" t="s">
        <v>64</v>
      </c>
      <c r="B17" s="7" t="s">
        <v>42</v>
      </c>
      <c r="C17" s="8">
        <v>20057.52</v>
      </c>
      <c r="D17" s="46"/>
      <c r="E17" s="12"/>
      <c r="F17" s="1"/>
      <c r="G17" s="1"/>
      <c r="H17" s="36"/>
      <c r="I17" s="36"/>
    </row>
    <row r="18" spans="1:9" ht="13.5">
      <c r="A18" s="39" t="s">
        <v>65</v>
      </c>
      <c r="B18" s="7" t="s">
        <v>18</v>
      </c>
      <c r="C18" s="8"/>
      <c r="D18" s="46"/>
      <c r="E18" s="12"/>
      <c r="F18" s="1"/>
      <c r="G18" s="1"/>
      <c r="H18" s="36"/>
      <c r="I18" s="36"/>
    </row>
    <row r="19" spans="1:9" ht="13.5">
      <c r="A19" s="39" t="s">
        <v>66</v>
      </c>
      <c r="B19" s="7" t="s">
        <v>19</v>
      </c>
      <c r="C19" s="8"/>
      <c r="D19" s="46"/>
      <c r="E19" s="12"/>
      <c r="F19" s="1"/>
      <c r="G19" s="1"/>
      <c r="H19" s="36"/>
      <c r="I19" s="36"/>
    </row>
    <row r="20" spans="1:9" ht="13.5">
      <c r="A20" s="39" t="s">
        <v>67</v>
      </c>
      <c r="B20" s="7" t="s">
        <v>20</v>
      </c>
      <c r="C20" s="8"/>
      <c r="D20" s="46"/>
      <c r="E20" s="12"/>
      <c r="F20" s="1"/>
      <c r="G20" s="1"/>
      <c r="H20" s="36"/>
      <c r="I20" s="36"/>
    </row>
    <row r="21" spans="1:9" ht="13.5">
      <c r="A21" s="39" t="s">
        <v>68</v>
      </c>
      <c r="B21" s="7" t="s">
        <v>21</v>
      </c>
      <c r="C21" s="8"/>
      <c r="D21" s="46"/>
      <c r="E21" s="12"/>
      <c r="F21" s="1"/>
      <c r="G21" s="1"/>
      <c r="H21" s="36"/>
      <c r="I21" s="36"/>
    </row>
    <row r="22" spans="1:9" ht="13.5">
      <c r="A22" s="39" t="s">
        <v>69</v>
      </c>
      <c r="B22" s="7" t="s">
        <v>22</v>
      </c>
      <c r="C22" s="8"/>
      <c r="D22" s="46"/>
      <c r="E22" s="12"/>
      <c r="F22" s="1"/>
      <c r="G22" s="1"/>
      <c r="H22" s="36"/>
      <c r="I22" s="36"/>
    </row>
    <row r="23" spans="1:9" ht="13.5">
      <c r="A23" s="39" t="s">
        <v>70</v>
      </c>
      <c r="B23" s="7" t="s">
        <v>23</v>
      </c>
      <c r="C23" s="8"/>
      <c r="D23" s="46"/>
      <c r="E23" s="12"/>
      <c r="F23" s="1"/>
      <c r="G23" s="1"/>
      <c r="H23" s="36"/>
      <c r="I23" s="36"/>
    </row>
    <row r="24" spans="1:9" ht="13.5">
      <c r="A24" s="39" t="s">
        <v>71</v>
      </c>
      <c r="B24" s="7" t="s">
        <v>24</v>
      </c>
      <c r="C24" s="8"/>
      <c r="D24" s="46"/>
      <c r="E24" s="12"/>
      <c r="F24" s="1"/>
      <c r="G24" s="1"/>
      <c r="H24" s="36"/>
      <c r="I24" s="36"/>
    </row>
    <row r="25" spans="1:9" ht="13.5">
      <c r="A25" s="39" t="s">
        <v>72</v>
      </c>
      <c r="B25" s="7" t="s">
        <v>25</v>
      </c>
      <c r="C25" s="8"/>
      <c r="D25" s="46"/>
      <c r="E25" s="12"/>
      <c r="F25" s="1"/>
      <c r="G25" s="1"/>
      <c r="H25" s="36"/>
      <c r="I25" s="36"/>
    </row>
    <row r="26" spans="1:9" ht="13.5">
      <c r="A26" s="39" t="s">
        <v>73</v>
      </c>
      <c r="B26" s="7" t="s">
        <v>26</v>
      </c>
      <c r="C26" s="8">
        <v>504.28</v>
      </c>
      <c r="D26" s="46"/>
      <c r="E26" s="12"/>
      <c r="F26" s="1"/>
      <c r="G26" s="1"/>
      <c r="H26" s="36"/>
      <c r="I26" s="36"/>
    </row>
    <row r="27" spans="1:9" ht="13.5">
      <c r="A27" s="39" t="s">
        <v>74</v>
      </c>
      <c r="B27" s="7" t="s">
        <v>27</v>
      </c>
      <c r="C27" s="8"/>
      <c r="D27" s="46"/>
      <c r="E27" s="12"/>
      <c r="F27" s="1"/>
      <c r="G27" s="1"/>
      <c r="H27" s="36"/>
      <c r="I27" s="36"/>
    </row>
    <row r="28" spans="1:9" ht="13.5">
      <c r="A28" s="39" t="s">
        <v>75</v>
      </c>
      <c r="B28" s="7" t="s">
        <v>28</v>
      </c>
      <c r="C28" s="8"/>
      <c r="D28" s="46"/>
      <c r="E28" s="12"/>
      <c r="F28" s="1"/>
      <c r="G28" s="1"/>
      <c r="H28" s="36"/>
      <c r="I28" s="36"/>
    </row>
    <row r="29" spans="1:9" ht="13.5">
      <c r="A29" s="39" t="s">
        <v>76</v>
      </c>
      <c r="B29" s="7" t="s">
        <v>29</v>
      </c>
      <c r="C29" s="8">
        <f>24064.86+1657.77</f>
        <v>25722.63</v>
      </c>
      <c r="D29" s="46"/>
      <c r="E29" s="12"/>
      <c r="F29" s="1"/>
      <c r="G29" s="1"/>
      <c r="H29" s="36"/>
      <c r="I29" s="36"/>
    </row>
    <row r="30" spans="1:10" ht="13.5">
      <c r="A30" s="39" t="s">
        <v>77</v>
      </c>
      <c r="B30" s="7" t="s">
        <v>30</v>
      </c>
      <c r="C30" s="8"/>
      <c r="D30" s="46"/>
      <c r="E30" s="12"/>
      <c r="F30" s="1"/>
      <c r="G30" s="1"/>
      <c r="H30" s="36"/>
      <c r="I30" s="36"/>
      <c r="J30" t="s">
        <v>91</v>
      </c>
    </row>
    <row r="31" spans="1:9" ht="13.5">
      <c r="A31" s="39" t="s">
        <v>78</v>
      </c>
      <c r="B31" s="7" t="s">
        <v>31</v>
      </c>
      <c r="C31" s="8">
        <v>154.9</v>
      </c>
      <c r="D31" s="46"/>
      <c r="E31" s="12"/>
      <c r="F31" s="1"/>
      <c r="G31" s="1"/>
      <c r="H31" s="36"/>
      <c r="I31" s="36"/>
    </row>
    <row r="32" spans="1:9" ht="13.5">
      <c r="A32" s="39" t="s">
        <v>79</v>
      </c>
      <c r="B32" s="7" t="s">
        <v>32</v>
      </c>
      <c r="C32" s="8"/>
      <c r="D32" s="46"/>
      <c r="E32" s="12"/>
      <c r="F32" s="1"/>
      <c r="G32" s="1"/>
      <c r="H32" s="36"/>
      <c r="I32" s="36"/>
    </row>
    <row r="33" spans="1:9" ht="13.5">
      <c r="A33" s="39" t="s">
        <v>80</v>
      </c>
      <c r="B33" s="7" t="s">
        <v>33</v>
      </c>
      <c r="C33" s="8"/>
      <c r="D33" s="46"/>
      <c r="E33" s="12"/>
      <c r="F33" s="1"/>
      <c r="G33" s="1"/>
      <c r="H33" s="36"/>
      <c r="I33" s="36"/>
    </row>
    <row r="34" spans="1:9" ht="13.5">
      <c r="A34" s="39" t="s">
        <v>82</v>
      </c>
      <c r="B34" s="7" t="s">
        <v>34</v>
      </c>
      <c r="C34" s="8">
        <v>19747.7</v>
      </c>
      <c r="D34" s="46"/>
      <c r="E34" s="12"/>
      <c r="F34" s="1"/>
      <c r="G34" s="1"/>
      <c r="H34" s="36"/>
      <c r="I34" s="36"/>
    </row>
    <row r="35" spans="1:9" ht="13.5">
      <c r="A35" s="39" t="s">
        <v>83</v>
      </c>
      <c r="B35" s="7" t="s">
        <v>35</v>
      </c>
      <c r="C35" s="8"/>
      <c r="D35" s="46"/>
      <c r="E35" s="12"/>
      <c r="F35" s="1"/>
      <c r="G35" s="1"/>
      <c r="H35" s="36"/>
      <c r="I35" s="36"/>
    </row>
    <row r="36" spans="1:9" ht="13.5">
      <c r="A36" s="39" t="s">
        <v>84</v>
      </c>
      <c r="B36" s="7" t="s">
        <v>36</v>
      </c>
      <c r="C36" s="8"/>
      <c r="D36" s="46"/>
      <c r="E36" s="12"/>
      <c r="F36" s="1"/>
      <c r="G36" s="1"/>
      <c r="H36" s="36"/>
      <c r="I36" s="36"/>
    </row>
    <row r="37" spans="1:9" ht="13.5">
      <c r="A37" s="39" t="s">
        <v>85</v>
      </c>
      <c r="B37" s="7" t="s">
        <v>89</v>
      </c>
      <c r="C37" s="8"/>
      <c r="D37" s="46"/>
      <c r="E37" s="12"/>
      <c r="F37" s="1"/>
      <c r="G37" s="1"/>
      <c r="H37" s="36"/>
      <c r="I37" s="36"/>
    </row>
    <row r="38" spans="1:9" ht="13.5">
      <c r="A38" s="39" t="s">
        <v>86</v>
      </c>
      <c r="B38" s="7" t="s">
        <v>92</v>
      </c>
      <c r="C38" s="8">
        <v>4518.84</v>
      </c>
      <c r="D38" s="46"/>
      <c r="E38" s="12"/>
      <c r="F38" s="1"/>
      <c r="G38" s="1"/>
      <c r="H38" s="36"/>
      <c r="I38" s="36"/>
    </row>
    <row r="39" spans="1:9" ht="13.5">
      <c r="A39" s="39" t="s">
        <v>87</v>
      </c>
      <c r="B39" s="7" t="s">
        <v>93</v>
      </c>
      <c r="C39" s="8"/>
      <c r="D39" s="46"/>
      <c r="E39" s="12"/>
      <c r="F39" s="1"/>
      <c r="G39" s="1"/>
      <c r="H39" s="36"/>
      <c r="I39" s="36"/>
    </row>
    <row r="40" spans="1:9" ht="13.5">
      <c r="A40" s="39" t="s">
        <v>88</v>
      </c>
      <c r="B40" s="7" t="s">
        <v>95</v>
      </c>
      <c r="C40" s="8"/>
      <c r="D40" s="46"/>
      <c r="E40" s="12"/>
      <c r="F40" s="1"/>
      <c r="G40" s="1"/>
      <c r="H40" s="36"/>
      <c r="I40" s="36"/>
    </row>
    <row r="41" spans="1:9" ht="13.5">
      <c r="A41" s="39" t="s">
        <v>94</v>
      </c>
      <c r="B41" s="7" t="s">
        <v>98</v>
      </c>
      <c r="C41" s="8"/>
      <c r="D41" s="46"/>
      <c r="E41" s="12"/>
      <c r="F41" s="1"/>
      <c r="G41" s="1"/>
      <c r="H41" s="36"/>
      <c r="I41" s="36"/>
    </row>
    <row r="42" spans="1:9" ht="13.5">
      <c r="A42" s="39" t="s">
        <v>96</v>
      </c>
      <c r="B42" s="7" t="s">
        <v>99</v>
      </c>
      <c r="C42" s="8"/>
      <c r="D42" s="46"/>
      <c r="E42" s="12"/>
      <c r="F42" s="1"/>
      <c r="G42" s="1"/>
      <c r="H42" s="36"/>
      <c r="I42" s="36"/>
    </row>
    <row r="43" spans="1:9" ht="14.25" thickBot="1">
      <c r="A43" s="60" t="s">
        <v>100</v>
      </c>
      <c r="B43" s="7" t="s">
        <v>107</v>
      </c>
      <c r="C43" s="57">
        <v>27.58</v>
      </c>
      <c r="D43" s="46"/>
      <c r="E43" s="12"/>
      <c r="F43" s="1"/>
      <c r="G43" s="1"/>
      <c r="H43" s="36"/>
      <c r="I43" s="36"/>
    </row>
    <row r="44" spans="1:9" ht="14.25" thickBot="1">
      <c r="A44" s="54"/>
      <c r="B44" s="55" t="s">
        <v>37</v>
      </c>
      <c r="C44" s="56">
        <f>SUM(C6:C43)</f>
        <v>162995.97</v>
      </c>
      <c r="D44" s="12"/>
      <c r="E44" s="12"/>
      <c r="F44" s="1"/>
      <c r="G44" s="1"/>
      <c r="H44" s="36"/>
      <c r="I44" s="36"/>
    </row>
    <row r="45" spans="1:9" ht="13.5">
      <c r="A45" s="36"/>
      <c r="B45" s="36"/>
      <c r="C45" s="38"/>
      <c r="D45" s="1"/>
      <c r="E45" s="1"/>
      <c r="F45" s="1"/>
      <c r="G45" s="1"/>
      <c r="H45" s="36"/>
      <c r="I45" s="36"/>
    </row>
    <row r="46" spans="1:9" ht="13.5">
      <c r="A46" s="36"/>
      <c r="B46" s="36"/>
      <c r="C46" s="38"/>
      <c r="D46" s="1"/>
      <c r="E46" s="1"/>
      <c r="F46" s="1"/>
      <c r="G46" s="1"/>
      <c r="H46" s="36"/>
      <c r="I46" s="36"/>
    </row>
    <row r="47" spans="1:9" ht="13.5">
      <c r="A47" s="36"/>
      <c r="B47" s="36"/>
      <c r="C47" s="36"/>
      <c r="D47" s="36"/>
      <c r="E47" s="36"/>
      <c r="F47" s="36"/>
      <c r="G47" s="36"/>
      <c r="H47" s="36"/>
      <c r="I47" s="36"/>
    </row>
    <row r="48" spans="1:9" ht="13.5">
      <c r="A48" s="36"/>
      <c r="B48" s="36"/>
      <c r="C48" s="36"/>
      <c r="D48" s="36"/>
      <c r="E48" s="36"/>
      <c r="F48" s="36"/>
      <c r="G48" s="36"/>
      <c r="H48" s="36"/>
      <c r="I48" s="36"/>
    </row>
    <row r="49" spans="1:9" ht="13.5">
      <c r="A49" s="36"/>
      <c r="B49" s="36"/>
      <c r="C49" s="36"/>
      <c r="D49" s="36"/>
      <c r="E49" s="36"/>
      <c r="F49" s="36"/>
      <c r="G49" s="36"/>
      <c r="H49" s="36"/>
      <c r="I49" s="36"/>
    </row>
  </sheetData>
  <mergeCells count="1">
    <mergeCell ref="A3:I3"/>
  </mergeCells>
  <printOptions/>
  <pageMargins left="0.75" right="0.75" top="1" bottom="1" header="0.5" footer="0.5"/>
  <pageSetup horizontalDpi="300" verticalDpi="300" orientation="portrait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3:I47"/>
  <sheetViews>
    <sheetView workbookViewId="0" topLeftCell="A1">
      <selection activeCell="I12" sqref="I12"/>
    </sheetView>
  </sheetViews>
  <sheetFormatPr defaultColWidth="9.140625" defaultRowHeight="12.75"/>
  <cols>
    <col min="2" max="2" width="27.8515625" style="0" customWidth="1"/>
    <col min="3" max="3" width="15.28125" style="0" customWidth="1"/>
  </cols>
  <sheetData>
    <row r="3" spans="1:9" ht="13.5">
      <c r="A3" s="88" t="s">
        <v>125</v>
      </c>
      <c r="B3" s="88"/>
      <c r="C3" s="88"/>
      <c r="D3" s="88"/>
      <c r="E3" s="88"/>
      <c r="F3" s="88"/>
      <c r="G3" s="88"/>
      <c r="H3" s="88"/>
      <c r="I3" s="88"/>
    </row>
    <row r="4" spans="1:9" ht="13.5">
      <c r="A4" s="90"/>
      <c r="B4" s="90"/>
      <c r="C4" s="90"/>
      <c r="D4" s="42"/>
      <c r="E4" s="36"/>
      <c r="F4" s="36"/>
      <c r="G4" s="36"/>
      <c r="H4" s="36"/>
      <c r="I4" s="36"/>
    </row>
    <row r="5" spans="1:9" ht="27">
      <c r="A5" s="49" t="s">
        <v>0</v>
      </c>
      <c r="B5" s="49" t="s">
        <v>1</v>
      </c>
      <c r="C5" s="51" t="s">
        <v>52</v>
      </c>
      <c r="D5" s="36"/>
      <c r="E5" s="36"/>
      <c r="F5" s="36"/>
      <c r="G5" s="36"/>
      <c r="H5" s="36"/>
      <c r="I5" s="36"/>
    </row>
    <row r="6" spans="1:9" ht="13.5">
      <c r="A6" s="39" t="s">
        <v>81</v>
      </c>
      <c r="B6" s="7" t="s">
        <v>6</v>
      </c>
      <c r="C6" s="47"/>
      <c r="D6" s="36"/>
      <c r="E6" s="36"/>
      <c r="F6" s="36"/>
      <c r="G6" s="36"/>
      <c r="H6" s="36"/>
      <c r="I6" s="36"/>
    </row>
    <row r="7" spans="1:9" ht="13.5">
      <c r="A7" s="39" t="s">
        <v>54</v>
      </c>
      <c r="B7" s="7" t="s">
        <v>41</v>
      </c>
      <c r="C7" s="47"/>
      <c r="D7" s="36"/>
      <c r="E7" s="36"/>
      <c r="F7" s="36"/>
      <c r="G7" s="36"/>
      <c r="H7" s="36"/>
      <c r="I7" s="36"/>
    </row>
    <row r="8" spans="1:9" ht="13.5">
      <c r="A8" s="39" t="s">
        <v>55</v>
      </c>
      <c r="B8" s="7" t="s">
        <v>8</v>
      </c>
      <c r="C8" s="47"/>
      <c r="D8" s="36"/>
      <c r="E8" s="36"/>
      <c r="F8" s="36"/>
      <c r="G8" s="36"/>
      <c r="H8" s="36"/>
      <c r="I8" s="36"/>
    </row>
    <row r="9" spans="1:9" ht="13.5">
      <c r="A9" s="39" t="s">
        <v>56</v>
      </c>
      <c r="B9" s="7" t="s">
        <v>9</v>
      </c>
      <c r="C9" s="47"/>
      <c r="D9" s="36"/>
      <c r="E9" s="36"/>
      <c r="F9" s="36"/>
      <c r="G9" s="36"/>
      <c r="H9" s="36"/>
      <c r="I9" s="36"/>
    </row>
    <row r="10" spans="1:9" ht="13.5">
      <c r="A10" s="39" t="s">
        <v>57</v>
      </c>
      <c r="B10" s="7" t="s">
        <v>10</v>
      </c>
      <c r="C10" s="47"/>
      <c r="D10" s="36"/>
      <c r="E10" s="36"/>
      <c r="F10" s="36"/>
      <c r="G10" s="36"/>
      <c r="H10" s="36"/>
      <c r="I10" s="36"/>
    </row>
    <row r="11" spans="1:9" ht="13.5">
      <c r="A11" s="39" t="s">
        <v>58</v>
      </c>
      <c r="B11" s="7" t="s">
        <v>11</v>
      </c>
      <c r="C11" s="47"/>
      <c r="D11" s="36"/>
      <c r="E11" s="36"/>
      <c r="F11" s="36"/>
      <c r="G11" s="36"/>
      <c r="H11" s="36"/>
      <c r="I11" s="36"/>
    </row>
    <row r="12" spans="1:9" ht="13.5">
      <c r="A12" s="39" t="s">
        <v>59</v>
      </c>
      <c r="B12" s="7" t="s">
        <v>12</v>
      </c>
      <c r="C12" s="47"/>
      <c r="D12" s="36"/>
      <c r="E12" s="36"/>
      <c r="F12" s="36"/>
      <c r="G12" s="36"/>
      <c r="H12" s="36"/>
      <c r="I12" s="36"/>
    </row>
    <row r="13" spans="1:9" ht="13.5">
      <c r="A13" s="39" t="s">
        <v>60</v>
      </c>
      <c r="B13" s="7" t="s">
        <v>13</v>
      </c>
      <c r="C13" s="47"/>
      <c r="D13" s="36"/>
      <c r="E13" s="36"/>
      <c r="F13" s="36"/>
      <c r="G13" s="36"/>
      <c r="H13" s="36"/>
      <c r="I13" s="36"/>
    </row>
    <row r="14" spans="1:9" ht="13.5">
      <c r="A14" s="39" t="s">
        <v>61</v>
      </c>
      <c r="B14" s="7" t="s">
        <v>14</v>
      </c>
      <c r="C14" s="47"/>
      <c r="D14" s="36"/>
      <c r="E14" s="36"/>
      <c r="F14" s="36"/>
      <c r="G14" s="36"/>
      <c r="H14" s="36"/>
      <c r="I14" s="36"/>
    </row>
    <row r="15" spans="1:9" ht="13.5">
      <c r="A15" s="39" t="s">
        <v>62</v>
      </c>
      <c r="B15" s="7" t="s">
        <v>15</v>
      </c>
      <c r="C15" s="8">
        <v>32966.47</v>
      </c>
      <c r="D15" s="36"/>
      <c r="E15" s="36"/>
      <c r="F15" s="36"/>
      <c r="G15" s="36"/>
      <c r="H15" s="36"/>
      <c r="I15" s="36"/>
    </row>
    <row r="16" spans="1:9" ht="13.5">
      <c r="A16" s="39" t="s">
        <v>63</v>
      </c>
      <c r="B16" s="7" t="s">
        <v>16</v>
      </c>
      <c r="C16" s="47"/>
      <c r="D16" s="36"/>
      <c r="E16" s="36"/>
      <c r="F16" s="36"/>
      <c r="G16" s="36"/>
      <c r="H16" s="36"/>
      <c r="I16" s="36"/>
    </row>
    <row r="17" spans="1:9" ht="13.5">
      <c r="A17" s="39" t="s">
        <v>64</v>
      </c>
      <c r="B17" s="7" t="s">
        <v>42</v>
      </c>
      <c r="C17" s="8"/>
      <c r="D17" s="36"/>
      <c r="E17" s="36"/>
      <c r="F17" s="36"/>
      <c r="G17" s="36"/>
      <c r="H17" s="36"/>
      <c r="I17" s="36"/>
    </row>
    <row r="18" spans="1:9" ht="13.5">
      <c r="A18" s="39" t="s">
        <v>65</v>
      </c>
      <c r="B18" s="7" t="s">
        <v>18</v>
      </c>
      <c r="C18" s="47"/>
      <c r="D18" s="36"/>
      <c r="E18" s="36"/>
      <c r="F18" s="36"/>
      <c r="G18" s="36"/>
      <c r="H18" s="36"/>
      <c r="I18" s="36"/>
    </row>
    <row r="19" spans="1:9" ht="13.5">
      <c r="A19" s="39" t="s">
        <v>66</v>
      </c>
      <c r="B19" s="7" t="s">
        <v>19</v>
      </c>
      <c r="C19" s="47"/>
      <c r="D19" s="36"/>
      <c r="E19" s="36"/>
      <c r="F19" s="36"/>
      <c r="G19" s="36"/>
      <c r="H19" s="36"/>
      <c r="I19" s="36"/>
    </row>
    <row r="20" spans="1:9" ht="13.5">
      <c r="A20" s="39" t="s">
        <v>67</v>
      </c>
      <c r="B20" s="7" t="s">
        <v>20</v>
      </c>
      <c r="C20" s="47"/>
      <c r="D20" s="36"/>
      <c r="E20" s="36"/>
      <c r="F20" s="36"/>
      <c r="G20" s="36"/>
      <c r="H20" s="36"/>
      <c r="I20" s="36"/>
    </row>
    <row r="21" spans="1:9" ht="13.5">
      <c r="A21" s="39" t="s">
        <v>68</v>
      </c>
      <c r="B21" s="7" t="s">
        <v>21</v>
      </c>
      <c r="C21" s="47"/>
      <c r="D21" s="36"/>
      <c r="E21" s="36"/>
      <c r="F21" s="36"/>
      <c r="G21" s="36"/>
      <c r="H21" s="36"/>
      <c r="I21" s="36"/>
    </row>
    <row r="22" spans="1:9" ht="13.5">
      <c r="A22" s="39" t="s">
        <v>69</v>
      </c>
      <c r="B22" s="7" t="s">
        <v>22</v>
      </c>
      <c r="C22" s="47"/>
      <c r="D22" s="36"/>
      <c r="E22" s="36"/>
      <c r="F22" s="36"/>
      <c r="G22" s="36"/>
      <c r="H22" s="36"/>
      <c r="I22" s="36"/>
    </row>
    <row r="23" spans="1:9" ht="13.5">
      <c r="A23" s="39" t="s">
        <v>70</v>
      </c>
      <c r="B23" s="7" t="s">
        <v>23</v>
      </c>
      <c r="C23" s="47"/>
      <c r="D23" s="36"/>
      <c r="E23" s="36"/>
      <c r="F23" s="36"/>
      <c r="G23" s="36"/>
      <c r="H23" s="36"/>
      <c r="I23" s="36"/>
    </row>
    <row r="24" spans="1:9" ht="13.5">
      <c r="A24" s="39" t="s">
        <v>71</v>
      </c>
      <c r="B24" s="7" t="s">
        <v>24</v>
      </c>
      <c r="C24" s="47"/>
      <c r="D24" s="36"/>
      <c r="E24" s="36"/>
      <c r="F24" s="36"/>
      <c r="G24" s="36"/>
      <c r="H24" s="36"/>
      <c r="I24" s="36"/>
    </row>
    <row r="25" spans="1:9" ht="13.5">
      <c r="A25" s="39" t="s">
        <v>72</v>
      </c>
      <c r="B25" s="7" t="s">
        <v>25</v>
      </c>
      <c r="C25" s="47"/>
      <c r="D25" s="36"/>
      <c r="E25" s="36"/>
      <c r="F25" s="36"/>
      <c r="G25" s="36"/>
      <c r="H25" s="36"/>
      <c r="I25" s="36"/>
    </row>
    <row r="26" spans="1:9" ht="13.5">
      <c r="A26" s="39" t="s">
        <v>73</v>
      </c>
      <c r="B26" s="7" t="s">
        <v>26</v>
      </c>
      <c r="C26" s="47"/>
      <c r="D26" s="36"/>
      <c r="E26" s="36"/>
      <c r="F26" s="36"/>
      <c r="G26" s="36"/>
      <c r="H26" s="36"/>
      <c r="I26" s="36"/>
    </row>
    <row r="27" spans="1:9" ht="13.5">
      <c r="A27" s="39" t="s">
        <v>74</v>
      </c>
      <c r="B27" s="7" t="s">
        <v>27</v>
      </c>
      <c r="C27" s="47"/>
      <c r="D27" s="36"/>
      <c r="E27" s="36"/>
      <c r="F27" s="36"/>
      <c r="G27" s="36"/>
      <c r="H27" s="36"/>
      <c r="I27" s="36"/>
    </row>
    <row r="28" spans="1:9" ht="13.5">
      <c r="A28" s="39" t="s">
        <v>75</v>
      </c>
      <c r="B28" s="7" t="s">
        <v>28</v>
      </c>
      <c r="C28" s="47"/>
      <c r="D28" s="36"/>
      <c r="E28" s="36"/>
      <c r="F28" s="36"/>
      <c r="G28" s="36"/>
      <c r="H28" s="36"/>
      <c r="I28" s="36"/>
    </row>
    <row r="29" spans="1:9" ht="13.5">
      <c r="A29" s="39" t="s">
        <v>76</v>
      </c>
      <c r="B29" s="7" t="s">
        <v>29</v>
      </c>
      <c r="C29" s="47"/>
      <c r="D29" s="36"/>
      <c r="E29" s="36"/>
      <c r="F29" s="36"/>
      <c r="G29" s="36"/>
      <c r="H29" s="36"/>
      <c r="I29" s="36"/>
    </row>
    <row r="30" spans="1:9" ht="13.5">
      <c r="A30" s="39" t="s">
        <v>77</v>
      </c>
      <c r="B30" s="7" t="s">
        <v>30</v>
      </c>
      <c r="C30" s="47"/>
      <c r="D30" s="36"/>
      <c r="E30" s="36"/>
      <c r="F30" s="36"/>
      <c r="G30" s="36"/>
      <c r="H30" s="36"/>
      <c r="I30" s="36"/>
    </row>
    <row r="31" spans="1:9" ht="13.5">
      <c r="A31" s="39" t="s">
        <v>78</v>
      </c>
      <c r="B31" s="7" t="s">
        <v>31</v>
      </c>
      <c r="C31" s="47"/>
      <c r="D31" s="36"/>
      <c r="E31" s="36"/>
      <c r="F31" s="36"/>
      <c r="G31" s="36"/>
      <c r="H31" s="36"/>
      <c r="I31" s="36"/>
    </row>
    <row r="32" spans="1:9" ht="13.5">
      <c r="A32" s="39" t="s">
        <v>79</v>
      </c>
      <c r="B32" s="7" t="s">
        <v>32</v>
      </c>
      <c r="C32" s="47"/>
      <c r="D32" s="36"/>
      <c r="E32" s="36"/>
      <c r="F32" s="36"/>
      <c r="G32" s="36"/>
      <c r="H32" s="36"/>
      <c r="I32" s="36"/>
    </row>
    <row r="33" spans="1:9" ht="13.5">
      <c r="A33" s="39" t="s">
        <v>80</v>
      </c>
      <c r="B33" s="7" t="s">
        <v>33</v>
      </c>
      <c r="C33" s="47"/>
      <c r="D33" s="36"/>
      <c r="E33" s="36"/>
      <c r="F33" s="36"/>
      <c r="G33" s="36"/>
      <c r="H33" s="36"/>
      <c r="I33" s="36"/>
    </row>
    <row r="34" spans="1:9" ht="13.5">
      <c r="A34" s="39" t="s">
        <v>82</v>
      </c>
      <c r="B34" s="7" t="s">
        <v>34</v>
      </c>
      <c r="C34" s="47"/>
      <c r="D34" s="36"/>
      <c r="E34" s="36"/>
      <c r="F34" s="36"/>
      <c r="G34" s="36"/>
      <c r="H34" s="36"/>
      <c r="I34" s="36"/>
    </row>
    <row r="35" spans="1:9" ht="13.5">
      <c r="A35" s="39" t="s">
        <v>83</v>
      </c>
      <c r="B35" s="7" t="s">
        <v>35</v>
      </c>
      <c r="C35" s="47"/>
      <c r="D35" s="36"/>
      <c r="E35" s="36"/>
      <c r="F35" s="36"/>
      <c r="G35" s="36"/>
      <c r="H35" s="36"/>
      <c r="I35" s="36"/>
    </row>
    <row r="36" spans="1:9" ht="13.5">
      <c r="A36" s="39" t="s">
        <v>84</v>
      </c>
      <c r="B36" s="7" t="s">
        <v>36</v>
      </c>
      <c r="C36" s="47"/>
      <c r="D36" s="36"/>
      <c r="E36" s="36"/>
      <c r="F36" s="36"/>
      <c r="G36" s="36"/>
      <c r="H36" s="36"/>
      <c r="I36" s="36"/>
    </row>
    <row r="37" spans="1:9" ht="13.5">
      <c r="A37" s="39" t="s">
        <v>85</v>
      </c>
      <c r="B37" s="7" t="s">
        <v>89</v>
      </c>
      <c r="C37" s="47"/>
      <c r="D37" s="36"/>
      <c r="E37" s="36"/>
      <c r="F37" s="36"/>
      <c r="G37" s="36"/>
      <c r="H37" s="36"/>
      <c r="I37" s="36"/>
    </row>
    <row r="38" spans="1:9" ht="13.5">
      <c r="A38" s="39" t="s">
        <v>86</v>
      </c>
      <c r="B38" s="7" t="s">
        <v>92</v>
      </c>
      <c r="C38" s="47"/>
      <c r="D38" s="36"/>
      <c r="E38" s="36"/>
      <c r="F38" s="36"/>
      <c r="G38" s="36"/>
      <c r="H38" s="36"/>
      <c r="I38" s="36"/>
    </row>
    <row r="39" spans="1:9" ht="13.5">
      <c r="A39" s="39" t="s">
        <v>87</v>
      </c>
      <c r="B39" s="7" t="s">
        <v>93</v>
      </c>
      <c r="C39" s="47"/>
      <c r="D39" s="36"/>
      <c r="E39" s="36"/>
      <c r="F39" s="36"/>
      <c r="G39" s="36"/>
      <c r="H39" s="36"/>
      <c r="I39" s="36"/>
    </row>
    <row r="40" spans="1:9" ht="13.5">
      <c r="A40" s="39" t="s">
        <v>88</v>
      </c>
      <c r="B40" s="7" t="s">
        <v>95</v>
      </c>
      <c r="C40" s="47"/>
      <c r="D40" s="36"/>
      <c r="E40" s="36"/>
      <c r="F40" s="36"/>
      <c r="G40" s="36"/>
      <c r="H40" s="36"/>
      <c r="I40" s="36"/>
    </row>
    <row r="41" spans="1:9" ht="13.5">
      <c r="A41" s="39" t="s">
        <v>94</v>
      </c>
      <c r="B41" s="7" t="s">
        <v>98</v>
      </c>
      <c r="C41" s="47"/>
      <c r="D41" s="36"/>
      <c r="E41" s="36"/>
      <c r="F41" s="36"/>
      <c r="G41" s="36"/>
      <c r="H41" s="36"/>
      <c r="I41" s="36"/>
    </row>
    <row r="42" spans="1:9" ht="13.5">
      <c r="A42" s="39" t="s">
        <v>96</v>
      </c>
      <c r="B42" s="7" t="s">
        <v>99</v>
      </c>
      <c r="C42" s="47"/>
      <c r="D42" s="36"/>
      <c r="E42" s="36"/>
      <c r="F42" s="36"/>
      <c r="G42" s="36"/>
      <c r="H42" s="36"/>
      <c r="I42" s="36"/>
    </row>
    <row r="43" spans="1:9" ht="14.25" thickBot="1">
      <c r="A43" s="60" t="s">
        <v>100</v>
      </c>
      <c r="B43" s="7" t="s">
        <v>107</v>
      </c>
      <c r="C43" s="62"/>
      <c r="D43" s="36"/>
      <c r="E43" s="36"/>
      <c r="F43" s="36"/>
      <c r="G43" s="36"/>
      <c r="H43" s="36"/>
      <c r="I43" s="36"/>
    </row>
    <row r="44" spans="1:9" ht="14.25" thickBot="1">
      <c r="A44" s="54"/>
      <c r="B44" s="55" t="s">
        <v>37</v>
      </c>
      <c r="C44" s="56">
        <f>SUM(C6:C43)</f>
        <v>32966.47</v>
      </c>
      <c r="D44" s="36"/>
      <c r="E44" s="36"/>
      <c r="F44" s="36"/>
      <c r="G44" s="36"/>
      <c r="H44" s="36"/>
      <c r="I44" s="36"/>
    </row>
    <row r="45" spans="1:9" ht="13.5">
      <c r="A45" s="36"/>
      <c r="B45" s="36"/>
      <c r="C45" s="36"/>
      <c r="D45" s="36"/>
      <c r="E45" s="36"/>
      <c r="F45" s="36"/>
      <c r="G45" s="36"/>
      <c r="H45" s="36"/>
      <c r="I45" s="36"/>
    </row>
    <row r="46" spans="1:9" ht="13.5">
      <c r="A46" s="36"/>
      <c r="B46" s="36"/>
      <c r="C46" s="36"/>
      <c r="D46" s="36"/>
      <c r="E46" s="36"/>
      <c r="F46" s="36"/>
      <c r="G46" s="36"/>
      <c r="H46" s="36"/>
      <c r="I46" s="36"/>
    </row>
    <row r="47" spans="1:9" ht="13.5">
      <c r="A47" s="36"/>
      <c r="B47" s="36"/>
      <c r="C47" s="36"/>
      <c r="D47" s="36"/>
      <c r="E47" s="36"/>
      <c r="F47" s="36"/>
      <c r="G47" s="36"/>
      <c r="H47" s="36"/>
      <c r="I47" s="36"/>
    </row>
  </sheetData>
  <mergeCells count="2">
    <mergeCell ref="A3:I3"/>
    <mergeCell ref="A4:C4"/>
  </mergeCells>
  <printOptions/>
  <pageMargins left="0.75" right="0.75" top="1" bottom="1" header="0.5" footer="0.5"/>
  <pageSetup horizontalDpi="300" verticalDpi="3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COVASNA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TUDOR CERNEA</dc:creator>
  <cp:keywords/>
  <dc:description/>
  <cp:lastModifiedBy>Radu POPESCU</cp:lastModifiedBy>
  <cp:lastPrinted>2017-07-17T06:57:54Z</cp:lastPrinted>
  <dcterms:created xsi:type="dcterms:W3CDTF">2011-06-30T06:54:46Z</dcterms:created>
  <dcterms:modified xsi:type="dcterms:W3CDTF">2017-07-31T06:13:58Z</dcterms:modified>
  <cp:category/>
  <cp:version/>
  <cp:contentType/>
  <cp:contentStatus/>
</cp:coreProperties>
</file>